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4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/Users/EdStavnitzky/Documents/Edge Academy Site/CESBA/"/>
    </mc:Choice>
  </mc:AlternateContent>
  <xr:revisionPtr revIDLastSave="0" documentId="8_{E15E3C74-C38A-8F4D-B049-950163463101}" xr6:coauthVersionLast="38" xr6:coauthVersionMax="38" xr10:uidLastSave="{00000000-0000-0000-0000-000000000000}"/>
  <bookViews>
    <workbookView xWindow="0" yWindow="460" windowWidth="25600" windowHeight="13460" xr2:uid="{00000000-000D-0000-FFFF-FFFF00000000}"/>
  </bookViews>
  <sheets>
    <sheet name="Schedule 12" sheetId="4" r:id="rId1"/>
    <sheet name="Section 6" sheetId="1" r:id="rId2"/>
  </sheets>
  <calcPr calcId="179021"/>
</workbook>
</file>

<file path=xl/calcChain.xml><?xml version="1.0" encoding="utf-8"?>
<calcChain xmlns="http://schemas.openxmlformats.org/spreadsheetml/2006/main">
  <c r="U6" i="4" l="1"/>
  <c r="U21" i="4"/>
  <c r="U23" i="4"/>
  <c r="U24" i="4"/>
  <c r="U28" i="4"/>
  <c r="U35" i="4"/>
  <c r="U36" i="4"/>
  <c r="N36" i="4" s="1"/>
  <c r="U37" i="4"/>
  <c r="P27" i="4"/>
  <c r="T27" i="4" s="1"/>
  <c r="P25" i="4"/>
  <c r="T22" i="4"/>
  <c r="T16" i="4"/>
  <c r="T15" i="4"/>
  <c r="P17" i="4"/>
  <c r="R12" i="4"/>
  <c r="R9" i="4"/>
  <c r="P9" i="4"/>
  <c r="P12" i="4" s="1"/>
  <c r="T6" i="4"/>
  <c r="T8" i="4"/>
  <c r="N37" i="4"/>
  <c r="N35" i="4"/>
  <c r="N28" i="4"/>
  <c r="M25" i="4"/>
  <c r="M29" i="4" s="1"/>
  <c r="N24" i="4"/>
  <c r="N23" i="4"/>
  <c r="N21" i="4"/>
  <c r="M14" i="4"/>
  <c r="M11" i="4"/>
  <c r="M10" i="4"/>
  <c r="M7" i="4"/>
  <c r="M5" i="4"/>
  <c r="Q26" i="1"/>
  <c r="Q14" i="1"/>
  <c r="M28" i="1"/>
  <c r="M26" i="1"/>
  <c r="L26" i="1"/>
  <c r="M22" i="1"/>
  <c r="M19" i="1"/>
  <c r="M17" i="1"/>
  <c r="L17" i="1"/>
  <c r="M15" i="1"/>
  <c r="M14" i="1"/>
  <c r="L14" i="1"/>
  <c r="L19" i="1" s="1"/>
  <c r="M13" i="1"/>
  <c r="M12" i="1"/>
  <c r="J5" i="1"/>
  <c r="J6" i="1" s="1"/>
  <c r="M4" i="1"/>
  <c r="L4" i="1"/>
  <c r="L22" i="1" l="1"/>
  <c r="T12" i="4"/>
  <c r="L6" i="1"/>
  <c r="J7" i="1"/>
  <c r="L7" i="1" s="1"/>
  <c r="L5" i="1"/>
  <c r="T9" i="4"/>
  <c r="M12" i="4"/>
  <c r="M17" i="4" s="1"/>
  <c r="R4" i="1"/>
  <c r="V26" i="1"/>
  <c r="W12" i="4"/>
  <c r="W17" i="4" s="1"/>
  <c r="Y12" i="4"/>
  <c r="V17" i="1"/>
  <c r="V14" i="1"/>
  <c r="V19" i="1" s="1"/>
  <c r="T5" i="1"/>
  <c r="V4" i="1"/>
  <c r="AA25" i="4"/>
  <c r="AA14" i="4"/>
  <c r="AA11" i="4"/>
  <c r="AA10" i="4"/>
  <c r="AA7" i="4"/>
  <c r="AA5" i="4"/>
  <c r="AD17" i="1"/>
  <c r="AG40" i="4"/>
  <c r="R5" i="1"/>
  <c r="R6" i="1"/>
  <c r="R7" i="1"/>
  <c r="R13" i="1"/>
  <c r="R15" i="1"/>
  <c r="R12" i="1"/>
  <c r="AD26" i="1"/>
  <c r="AM27" i="4"/>
  <c r="AK25" i="4"/>
  <c r="AM25" i="4" s="1"/>
  <c r="AM22" i="4"/>
  <c r="AK16" i="4"/>
  <c r="AM16" i="4" s="1"/>
  <c r="AK15" i="4"/>
  <c r="AM15" i="4" s="1"/>
  <c r="AK14" i="4"/>
  <c r="AM14" i="4" s="1"/>
  <c r="AJ12" i="4"/>
  <c r="AJ17" i="4" s="1"/>
  <c r="AI12" i="4"/>
  <c r="AI17" i="4" s="1"/>
  <c r="AM11" i="4"/>
  <c r="AM10" i="4"/>
  <c r="AK9" i="4"/>
  <c r="AM9" i="4" s="1"/>
  <c r="AK8" i="4"/>
  <c r="AM8" i="4" s="1"/>
  <c r="AM7" i="4"/>
  <c r="AK6" i="4"/>
  <c r="AM6" i="4" s="1"/>
  <c r="AM5" i="4"/>
  <c r="AD14" i="1"/>
  <c r="AD19" i="1" s="1"/>
  <c r="AD22" i="1" s="1"/>
  <c r="AD6" i="1"/>
  <c r="AD4" i="1"/>
  <c r="Z26" i="1"/>
  <c r="AG27" i="4"/>
  <c r="U27" i="4" s="1"/>
  <c r="AG22" i="4"/>
  <c r="U22" i="4" s="1"/>
  <c r="N22" i="4" s="1"/>
  <c r="AE25" i="4"/>
  <c r="AG25" i="4" s="1"/>
  <c r="T25" i="4"/>
  <c r="T29" i="4" s="1"/>
  <c r="L8" i="1" l="1"/>
  <c r="L28" i="1" s="1"/>
  <c r="M31" i="1" s="1"/>
  <c r="V5" i="1"/>
  <c r="N27" i="4"/>
  <c r="AG29" i="4"/>
  <c r="U25" i="4"/>
  <c r="AA12" i="4"/>
  <c r="AE29" i="4"/>
  <c r="AM29" i="4"/>
  <c r="AA29" i="4"/>
  <c r="N25" i="4"/>
  <c r="V22" i="1"/>
  <c r="T6" i="1"/>
  <c r="R26" i="1"/>
  <c r="AM12" i="4"/>
  <c r="AM17" i="4" s="1"/>
  <c r="AK12" i="4"/>
  <c r="AK17" i="4" s="1"/>
  <c r="AK29" i="4"/>
  <c r="AD7" i="1"/>
  <c r="AD8" i="1" s="1"/>
  <c r="AD28" i="1" s="1"/>
  <c r="U29" i="4" l="1"/>
  <c r="N29" i="4" s="1"/>
  <c r="AG32" i="4"/>
  <c r="AA17" i="4"/>
  <c r="V6" i="1"/>
  <c r="T7" i="1"/>
  <c r="AG11" i="4"/>
  <c r="AG10" i="4"/>
  <c r="AG7" i="4"/>
  <c r="AG5" i="4"/>
  <c r="U5" i="4" s="1"/>
  <c r="N5" i="4" s="1"/>
  <c r="V7" i="1" l="1"/>
  <c r="U10" i="4"/>
  <c r="N10" i="4" s="1"/>
  <c r="U11" i="4"/>
  <c r="N11" i="4" s="1"/>
  <c r="U7" i="4"/>
  <c r="V8" i="1"/>
  <c r="V28" i="1" s="1"/>
  <c r="AE16" i="4"/>
  <c r="AG16" i="4" s="1"/>
  <c r="U16" i="4" s="1"/>
  <c r="N16" i="4" s="1"/>
  <c r="AE15" i="4"/>
  <c r="AG15" i="4" s="1"/>
  <c r="U15" i="4" s="1"/>
  <c r="N15" i="4" s="1"/>
  <c r="AE14" i="4"/>
  <c r="AG14" i="4" s="1"/>
  <c r="U14" i="4" s="1"/>
  <c r="N14" i="4" s="1"/>
  <c r="AD12" i="4"/>
  <c r="AD17" i="4" s="1"/>
  <c r="AC12" i="4"/>
  <c r="AC17" i="4" s="1"/>
  <c r="AE9" i="4"/>
  <c r="AG9" i="4" s="1"/>
  <c r="AE8" i="4"/>
  <c r="AG8" i="4" s="1"/>
  <c r="AE6" i="4"/>
  <c r="Z17" i="1"/>
  <c r="R17" i="1" s="1"/>
  <c r="Z14" i="1"/>
  <c r="R14" i="1" s="1"/>
  <c r="X5" i="1"/>
  <c r="Z4" i="1"/>
  <c r="T14" i="4"/>
  <c r="T11" i="4"/>
  <c r="T10" i="4"/>
  <c r="T7" i="4"/>
  <c r="N7" i="4" s="1"/>
  <c r="T5" i="4"/>
  <c r="Q17" i="1"/>
  <c r="Q19" i="1"/>
  <c r="Q4" i="1"/>
  <c r="O5" i="1"/>
  <c r="O6" i="1" s="1"/>
  <c r="X6" i="1" l="1"/>
  <c r="M6" i="1" s="1"/>
  <c r="M5" i="1"/>
  <c r="U8" i="4"/>
  <c r="N8" i="4" s="1"/>
  <c r="U9" i="4"/>
  <c r="N9" i="4" s="1"/>
  <c r="AE12" i="4"/>
  <c r="AE17" i="4" s="1"/>
  <c r="AG6" i="4"/>
  <c r="N6" i="4" s="1"/>
  <c r="Q6" i="1"/>
  <c r="O7" i="1"/>
  <c r="Q7" i="1" s="1"/>
  <c r="Z6" i="1"/>
  <c r="X7" i="1"/>
  <c r="Z5" i="1"/>
  <c r="Q5" i="1"/>
  <c r="Z19" i="1"/>
  <c r="R19" i="1" s="1"/>
  <c r="Q22" i="1"/>
  <c r="T17" i="4"/>
  <c r="Z7" i="1" l="1"/>
  <c r="M7" i="1"/>
  <c r="AG12" i="4"/>
  <c r="U12" i="4" s="1"/>
  <c r="N12" i="4" s="1"/>
  <c r="Q8" i="1"/>
  <c r="Q28" i="1" s="1"/>
  <c r="Z8" i="1"/>
  <c r="Z22" i="1"/>
  <c r="R22" i="1" s="1"/>
  <c r="Z28" i="1" l="1"/>
  <c r="AG17" i="4"/>
  <c r="U17" i="4" s="1"/>
  <c r="N17" i="4" s="1"/>
  <c r="R28" i="1"/>
  <c r="Z34" i="1"/>
  <c r="Z31" i="1"/>
  <c r="R31" i="1"/>
  <c r="AG20" i="4" l="1"/>
</calcChain>
</file>

<file path=xl/sharedStrings.xml><?xml version="1.0" encoding="utf-8"?>
<sst xmlns="http://schemas.openxmlformats.org/spreadsheetml/2006/main" count="183" uniqueCount="110">
  <si>
    <t>Section 6 -  Continuing Education Allocation and Other Programs</t>
  </si>
  <si>
    <t>Adult Education, Continuing Education and Summer School</t>
  </si>
  <si>
    <t>Benchmark</t>
  </si>
  <si>
    <t>ADE</t>
  </si>
  <si>
    <t>Allocation</t>
  </si>
  <si>
    <t>Total Adult Day School Allocation</t>
  </si>
  <si>
    <t>Total High Credit Allocation</t>
  </si>
  <si>
    <t>Total Continuing Education Allocation</t>
  </si>
  <si>
    <t>Total Summer School Allocation</t>
  </si>
  <si>
    <t>Adult Education, High Credit, Continuing Education and Summer School Allocation</t>
  </si>
  <si>
    <t>((Item 6.1 Benchmark x ADE) + (Item 6.2 Benchmark x ADE) + (Item 6.3 Benchmark x ADE) + (Item 6.4 Benchmark x ADE))</t>
  </si>
  <si>
    <t>2013 - 2014 (Final)</t>
  </si>
  <si>
    <t>2012 - 2013 (Final)</t>
  </si>
  <si>
    <t>International Languages - Elementary</t>
  </si>
  <si>
    <t>6.10</t>
  </si>
  <si>
    <t>6.12</t>
  </si>
  <si>
    <t>International Language Course enrolment</t>
  </si>
  <si>
    <t>International Language Number of classes</t>
  </si>
  <si>
    <t>International Language Average class size   (Item 6.6 / 6.7)</t>
  </si>
  <si>
    <t>International Language Number of hours</t>
  </si>
  <si>
    <t>Hourly Rate</t>
  </si>
  <si>
    <t>International Allocation before small class size adjustment   (tem 6.9 x Hourly Rate)</t>
  </si>
  <si>
    <t>Adjustment for Small Class Size</t>
  </si>
  <si>
    <t>Class Size Threshold</t>
  </si>
  <si>
    <t>Reduction per Hour</t>
  </si>
  <si>
    <t>International Languages allocation</t>
  </si>
  <si>
    <t>(Item 6.10 - Item 6.11)</t>
  </si>
  <si>
    <t>6.13</t>
  </si>
  <si>
    <t>PLAR Allocation</t>
  </si>
  <si>
    <t>6.14</t>
  </si>
  <si>
    <t>Continuing Education Allocation and Other Program</t>
  </si>
  <si>
    <t>(Item 6.5  + Item 6.12  + Item 6.13)</t>
  </si>
  <si>
    <t>PLAR Equivalent</t>
  </si>
  <si>
    <t>PLAR Completed</t>
  </si>
  <si>
    <t>Assessment Amount</t>
  </si>
  <si>
    <t>Challenges Grade 11-12</t>
  </si>
  <si>
    <t>((Schedule 12, Item 3.1 + Item 3.2) x PLAR Equivalent Assess. Amt.) + (Schedule 12, Item 3.3 x PLAR Completed Challenges Grade 11-12)</t>
  </si>
  <si>
    <t>Schedule 12  -  Continuing Ed. and Summer School Enrolment and PLAR</t>
  </si>
  <si>
    <t>Continuing Education Average Daily Enrolment</t>
  </si>
  <si>
    <t>Sep. to Jun.</t>
  </si>
  <si>
    <t>Jul. to Aug.</t>
  </si>
  <si>
    <t>ADE-Small Class Adjustment</t>
  </si>
  <si>
    <t>Equivalent ADE</t>
  </si>
  <si>
    <t>1.1</t>
  </si>
  <si>
    <t>1.2</t>
  </si>
  <si>
    <t>1.3</t>
  </si>
  <si>
    <t>1.4</t>
  </si>
  <si>
    <t>Native Language Instruction for Adults</t>
  </si>
  <si>
    <t>1.2.1</t>
  </si>
  <si>
    <t>Adult Credit for Diploma Offered during Day School</t>
  </si>
  <si>
    <t>Adult Credit for Diploma Offered after end of Day School</t>
  </si>
  <si>
    <t>Adult Credit for Diploma Offered at Night or on Weekend</t>
  </si>
  <si>
    <t>1.5</t>
  </si>
  <si>
    <t>1.6</t>
  </si>
  <si>
    <t>1.7</t>
  </si>
  <si>
    <t>Correspondance, Self-Study, E-Learning</t>
  </si>
  <si>
    <t>Cont. Ed. - Transfer Credit Courses on Mathematics</t>
  </si>
  <si>
    <t>Cont. Ed. - Additional Preparation for Changing Courses Types</t>
  </si>
  <si>
    <t>Total Continuing Education ADE</t>
  </si>
  <si>
    <t>(Sum of Items 1.1 to 1.6)</t>
  </si>
  <si>
    <t>1.8</t>
  </si>
  <si>
    <t>1.9</t>
  </si>
  <si>
    <t>1.10</t>
  </si>
  <si>
    <t>1.11</t>
  </si>
  <si>
    <t>Total Continuing Education ADE including Literacy and Numeracy</t>
  </si>
  <si>
    <t>(Sum of Items 1.7 to 1.10)</t>
  </si>
  <si>
    <t>Adult Literacy &amp; Numeracy for Parents</t>
  </si>
  <si>
    <t>Grade 7 &amp; 8 Literacy &amp; Numeracy Remedial</t>
  </si>
  <si>
    <t>Grade 9 &amp; 10 Non-Credit Literacy &amp; Numeracy</t>
  </si>
  <si>
    <t>Summer School Average Daily Enrolment</t>
  </si>
  <si>
    <t>2.1</t>
  </si>
  <si>
    <t>2.2</t>
  </si>
  <si>
    <t>2.3</t>
  </si>
  <si>
    <t>2.4</t>
  </si>
  <si>
    <t>2.5</t>
  </si>
  <si>
    <t>2.6</t>
  </si>
  <si>
    <t>2.7</t>
  </si>
  <si>
    <t>2.8</t>
  </si>
  <si>
    <t>Total Summer School ADE</t>
  </si>
  <si>
    <t>(Sum of Items 2.5 to 2.7)</t>
  </si>
  <si>
    <t>Subtotal</t>
  </si>
  <si>
    <t>(Sum of Items 2.1 to 2.4)</t>
  </si>
  <si>
    <t>Summer School - Grade 7 &amp; 8 Literacy &amp; Numeracy Remedial</t>
  </si>
  <si>
    <t>Summer School - Grade 9 &amp; 10 Non-Credit Literacy &amp; Numeracy</t>
  </si>
  <si>
    <t>Summer School - Additional Preparation for Changing Courses Types</t>
  </si>
  <si>
    <t>Summer School - Transfer Credit Courses on Mathematics</t>
  </si>
  <si>
    <t>Elementary for Developmentally Delayed</t>
  </si>
  <si>
    <t>Secondary For Credit Courses</t>
  </si>
  <si>
    <t>3</t>
  </si>
  <si>
    <t>Prior Learning Assessment and Recognition (PLAR)</t>
  </si>
  <si>
    <t>(where the challenge is for a partial credit, the completed challenge should be pro-rated accordingly)</t>
  </si>
  <si>
    <t>Number of individual student assessments for grade 9 and 10 credits</t>
  </si>
  <si>
    <t>Number of individual student equivalency assessments for grade 11 and 12 credits</t>
  </si>
  <si>
    <t>Number of challenges for grade 11 and 12 credits</t>
  </si>
  <si>
    <t>(This section relates to PLAR for mature students. Equivalency assessments limited to one assessment per pupil during school year.)</t>
  </si>
  <si>
    <t>2013 - 2014 (Actual)</t>
  </si>
  <si>
    <t>Sep to Jun. Pupil Hours</t>
  </si>
  <si>
    <t>Jul. &amp; Aug. Pupil Hours</t>
  </si>
  <si>
    <t>Total Pupil Hours</t>
  </si>
  <si>
    <t>Number of Assignments</t>
  </si>
  <si>
    <t>Estimates (based on two previous year's Average)</t>
  </si>
  <si>
    <t xml:space="preserve">If Class Size Threshold is greater than item 6.8, then the adjustment is equal to (Class Size Threshold - Item 6.8) x </t>
  </si>
  <si>
    <t>Reduction per Hour x Item 6.9, otherwise theadjustment is zero</t>
  </si>
  <si>
    <t>Increase (Decrease)</t>
  </si>
  <si>
    <t>Increase (Decrease) without High Credit</t>
  </si>
  <si>
    <t>2014 - 2015 (Actual)</t>
  </si>
  <si>
    <t>2015 - 2016 (Pro Forma)</t>
  </si>
  <si>
    <t>Estimates (based on three previous year's Average)</t>
  </si>
  <si>
    <t>2015 - 2016 (Actual)</t>
  </si>
  <si>
    <t>2016 - 2017 (Pro Forma)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</si>
</sst>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/>
    <xf numFmtId="43" fontId="0" fillId="0" borderId="0" xfId="1" applyFont="1"/>
    <xf numFmtId="43" fontId="0" fillId="0" borderId="0" xfId="0" applyNumberFormat="1"/>
    <xf numFmtId="165" fontId="0" fillId="0" borderId="0" xfId="1" applyNumberFormat="1" applyFont="1"/>
    <xf numFmtId="0" fontId="7" fillId="0" borderId="0" xfId="0" applyFont="1"/>
    <xf numFmtId="0" fontId="2" fillId="0" borderId="0" xfId="0" applyFont="1"/>
    <xf numFmtId="165" fontId="2" fillId="0" borderId="0" xfId="0" applyNumberFormat="1" applyFont="1"/>
    <xf numFmtId="0" fontId="8" fillId="0" borderId="0" xfId="0" applyFont="1"/>
    <xf numFmtId="0" fontId="4" fillId="0" borderId="1" xfId="0" applyFont="1" applyBorder="1"/>
    <xf numFmtId="0" fontId="0" fillId="0" borderId="1" xfId="0" applyBorder="1"/>
    <xf numFmtId="43" fontId="0" fillId="0" borderId="1" xfId="1" applyFont="1" applyBorder="1"/>
    <xf numFmtId="2" fontId="0" fillId="0" borderId="1" xfId="0" applyNumberFormat="1" applyBorder="1"/>
    <xf numFmtId="165" fontId="0" fillId="0" borderId="1" xfId="1" applyNumberFormat="1" applyFont="1" applyBorder="1"/>
    <xf numFmtId="0" fontId="4" fillId="0" borderId="0" xfId="0" applyFont="1" applyBorder="1"/>
    <xf numFmtId="0" fontId="0" fillId="0" borderId="0" xfId="0" applyBorder="1"/>
    <xf numFmtId="43" fontId="0" fillId="0" borderId="0" xfId="1" applyFont="1" applyBorder="1"/>
    <xf numFmtId="2" fontId="0" fillId="0" borderId="0" xfId="0" applyNumberFormat="1" applyBorder="1"/>
    <xf numFmtId="165" fontId="0" fillId="0" borderId="0" xfId="1" applyNumberFormat="1" applyFont="1" applyBorder="1"/>
    <xf numFmtId="49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right"/>
    </xf>
    <xf numFmtId="0" fontId="7" fillId="0" borderId="0" xfId="0" applyFont="1" applyBorder="1"/>
    <xf numFmtId="49" fontId="4" fillId="0" borderId="2" xfId="0" applyNumberFormat="1" applyFont="1" applyBorder="1" applyAlignment="1">
      <alignment horizontal="right"/>
    </xf>
    <xf numFmtId="0" fontId="0" fillId="0" borderId="2" xfId="0" applyBorder="1"/>
    <xf numFmtId="43" fontId="0" fillId="0" borderId="2" xfId="1" applyFont="1" applyBorder="1"/>
    <xf numFmtId="2" fontId="0" fillId="0" borderId="2" xfId="0" applyNumberFormat="1" applyBorder="1"/>
    <xf numFmtId="165" fontId="0" fillId="0" borderId="2" xfId="1" applyNumberFormat="1" applyFont="1" applyBorder="1"/>
    <xf numFmtId="0" fontId="4" fillId="0" borderId="2" xfId="0" applyFont="1" applyBorder="1"/>
    <xf numFmtId="0" fontId="6" fillId="0" borderId="0" xfId="0" applyFont="1" applyAlignment="1"/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2" fontId="0" fillId="0" borderId="0" xfId="1" applyNumberFormat="1" applyFont="1"/>
    <xf numFmtId="2" fontId="0" fillId="0" borderId="0" xfId="1" applyNumberFormat="1" applyFont="1" applyBorder="1"/>
    <xf numFmtId="2" fontId="0" fillId="0" borderId="1" xfId="1" applyNumberFormat="1" applyFont="1" applyBorder="1"/>
    <xf numFmtId="2" fontId="0" fillId="0" borderId="0" xfId="1" applyNumberFormat="1" applyFont="1" applyFill="1"/>
    <xf numFmtId="2" fontId="0" fillId="0" borderId="1" xfId="1" applyNumberFormat="1" applyFont="1" applyFill="1" applyBorder="1"/>
    <xf numFmtId="49" fontId="7" fillId="0" borderId="0" xfId="0" applyNumberFormat="1" applyFont="1" applyBorder="1" applyAlignment="1">
      <alignment horizontal="right"/>
    </xf>
    <xf numFmtId="165" fontId="2" fillId="0" borderId="0" xfId="1" applyNumberFormat="1" applyFont="1" applyFill="1"/>
    <xf numFmtId="1" fontId="0" fillId="0" borderId="0" xfId="1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3" fontId="2" fillId="0" borderId="0" xfId="0" applyNumberFormat="1" applyFont="1"/>
    <xf numFmtId="1" fontId="0" fillId="0" borderId="0" xfId="0" applyNumberFormat="1"/>
    <xf numFmtId="43" fontId="0" fillId="0" borderId="1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 horizontal="right"/>
    </xf>
    <xf numFmtId="165" fontId="0" fillId="0" borderId="0" xfId="1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0" xfId="0" applyFont="1" applyAlignment="1">
      <alignment horizontal="center" vertical="top" wrapText="1"/>
    </xf>
    <xf numFmtId="164" fontId="0" fillId="0" borderId="0" xfId="0" applyNumberFormat="1"/>
    <xf numFmtId="43" fontId="0" fillId="0" borderId="0" xfId="1" applyNumberFormat="1" applyFont="1" applyBorder="1"/>
    <xf numFmtId="0" fontId="0" fillId="2" borderId="0" xfId="0" applyFill="1"/>
    <xf numFmtId="43" fontId="0" fillId="0" borderId="0" xfId="1" applyFont="1" applyFill="1"/>
    <xf numFmtId="165" fontId="0" fillId="2" borderId="0" xfId="1" applyNumberFormat="1" applyFont="1" applyFill="1"/>
    <xf numFmtId="43" fontId="0" fillId="2" borderId="0" xfId="1" applyFont="1" applyFill="1" applyBorder="1"/>
    <xf numFmtId="0" fontId="5" fillId="0" borderId="0" xfId="0" applyFont="1" applyBorder="1" applyAlignment="1">
      <alignment horizontal="center"/>
    </xf>
    <xf numFmtId="2" fontId="0" fillId="3" borderId="0" xfId="1" applyNumberFormat="1" applyFont="1" applyFill="1"/>
    <xf numFmtId="2" fontId="0" fillId="3" borderId="1" xfId="1" applyNumberFormat="1" applyFont="1" applyFill="1" applyBorder="1"/>
    <xf numFmtId="0" fontId="0" fillId="3" borderId="0" xfId="0" applyFill="1"/>
    <xf numFmtId="0" fontId="5" fillId="3" borderId="0" xfId="0" applyFont="1" applyFill="1" applyAlignment="1">
      <alignment horizontal="center"/>
    </xf>
    <xf numFmtId="165" fontId="0" fillId="3" borderId="0" xfId="1" applyNumberFormat="1" applyFont="1" applyFill="1" applyBorder="1"/>
    <xf numFmtId="0" fontId="10" fillId="3" borderId="0" xfId="0" applyFont="1" applyFill="1" applyAlignment="1">
      <alignment horizontal="center" vertical="top" wrapText="1"/>
    </xf>
    <xf numFmtId="1" fontId="0" fillId="3" borderId="0" xfId="1" applyNumberFormat="1" applyFont="1" applyFill="1"/>
    <xf numFmtId="165" fontId="0" fillId="0" borderId="0" xfId="1" applyNumberFormat="1" applyFont="1" applyFill="1"/>
    <xf numFmtId="165" fontId="0" fillId="3" borderId="0" xfId="1" applyNumberFormat="1" applyFont="1" applyFill="1"/>
    <xf numFmtId="0" fontId="0" fillId="3" borderId="1" xfId="0" applyFill="1" applyBorder="1"/>
    <xf numFmtId="165" fontId="0" fillId="3" borderId="2" xfId="1" applyNumberFormat="1" applyFont="1" applyFill="1" applyBorder="1"/>
    <xf numFmtId="43" fontId="0" fillId="0" borderId="0" xfId="0" applyNumberFormat="1" applyFill="1"/>
    <xf numFmtId="0" fontId="0" fillId="0" borderId="0" xfId="0" applyFill="1"/>
    <xf numFmtId="43" fontId="0" fillId="3" borderId="0" xfId="1" applyNumberFormat="1" applyFont="1" applyFill="1"/>
    <xf numFmtId="43" fontId="0" fillId="3" borderId="1" xfId="1" applyNumberFormat="1" applyFont="1" applyFill="1" applyBorder="1"/>
    <xf numFmtId="9" fontId="0" fillId="0" borderId="0" xfId="2" applyNumberFormat="1" applyFont="1"/>
    <xf numFmtId="43" fontId="2" fillId="0" borderId="0" xfId="1" applyFont="1" applyFill="1" applyAlignment="1">
      <alignment horizontal="right"/>
    </xf>
    <xf numFmtId="0" fontId="4" fillId="0" borderId="0" xfId="0" applyFont="1" applyFill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2" fontId="0" fillId="2" borderId="0" xfId="1" applyNumberFormat="1" applyFont="1" applyFill="1"/>
    <xf numFmtId="165" fontId="0" fillId="0" borderId="0" xfId="1" applyNumberFormat="1" applyFont="1" applyFill="1" applyBorder="1"/>
    <xf numFmtId="2" fontId="0" fillId="0" borderId="0" xfId="1" applyNumberFormat="1" applyFont="1" applyFill="1" applyBorder="1"/>
    <xf numFmtId="1" fontId="0" fillId="0" borderId="0" xfId="0" applyNumberFormat="1" applyFill="1"/>
    <xf numFmtId="164" fontId="0" fillId="0" borderId="0" xfId="0" applyNumberFormat="1" applyFill="1"/>
    <xf numFmtId="0" fontId="5" fillId="0" borderId="1" xfId="0" applyFont="1" applyBorder="1" applyAlignment="1">
      <alignment horizontal="center"/>
    </xf>
    <xf numFmtId="165" fontId="0" fillId="0" borderId="0" xfId="0" applyNumberFormat="1"/>
    <xf numFmtId="165" fontId="0" fillId="0" borderId="1" xfId="0" applyNumberFormat="1" applyBorder="1"/>
    <xf numFmtId="43" fontId="0" fillId="0" borderId="0" xfId="0" applyNumberFormat="1" applyBorder="1"/>
    <xf numFmtId="165" fontId="0" fillId="0" borderId="0" xfId="0" applyNumberFormat="1" applyBorder="1"/>
    <xf numFmtId="1" fontId="0" fillId="0" borderId="0" xfId="0" applyNumberFormat="1" applyBorder="1"/>
    <xf numFmtId="43" fontId="0" fillId="0" borderId="2" xfId="0" applyNumberFormat="1" applyBorder="1"/>
    <xf numFmtId="165" fontId="0" fillId="0" borderId="2" xfId="0" applyNumberFormat="1" applyBorder="1"/>
    <xf numFmtId="9" fontId="0" fillId="0" borderId="0" xfId="0" applyNumberFormat="1"/>
    <xf numFmtId="2" fontId="0" fillId="2" borderId="0" xfId="0" applyNumberFormat="1" applyFill="1"/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0"/>
  <sheetViews>
    <sheetView tabSelected="1" zoomScale="90" zoomScaleNormal="90" workbookViewId="0">
      <pane xSplit="8" topLeftCell="J1" activePane="topRight" state="frozen"/>
      <selection pane="topRight" activeCell="N7" sqref="N7"/>
    </sheetView>
  </sheetViews>
  <sheetFormatPr baseColWidth="10" defaultColWidth="8.83203125" defaultRowHeight="15" x14ac:dyDescent="0.2"/>
  <cols>
    <col min="2" max="9" width="10.5" customWidth="1"/>
    <col min="10" max="10" width="11.5" bestFit="1" customWidth="1"/>
    <col min="11" max="11" width="10.5" customWidth="1"/>
    <col min="12" max="12" width="11.5" bestFit="1" customWidth="1"/>
    <col min="13" max="14" width="10.5" customWidth="1"/>
    <col min="15" max="15" width="8.5" customWidth="1"/>
    <col min="16" max="21" width="11.5" customWidth="1"/>
    <col min="23" max="27" width="11.5" customWidth="1"/>
    <col min="28" max="28" width="8.83203125" customWidth="1"/>
    <col min="29" max="31" width="12.6640625" customWidth="1"/>
    <col min="32" max="32" width="8.6640625" customWidth="1"/>
    <col min="33" max="33" width="11.6640625" customWidth="1"/>
    <col min="35" max="37" width="12.6640625" customWidth="1"/>
    <col min="38" max="38" width="8.6640625" customWidth="1"/>
    <col min="39" max="39" width="11.6640625" customWidth="1"/>
  </cols>
  <sheetData>
    <row r="1" spans="1:39" ht="29" x14ac:dyDescent="0.35">
      <c r="A1" s="1" t="s">
        <v>37</v>
      </c>
    </row>
    <row r="2" spans="1:39" ht="29" x14ac:dyDescent="0.35">
      <c r="A2" s="1"/>
      <c r="K2" s="43" t="s">
        <v>109</v>
      </c>
      <c r="L2" s="43"/>
      <c r="M2" s="43"/>
      <c r="N2" s="43"/>
      <c r="O2" s="43"/>
      <c r="R2" s="43" t="s">
        <v>108</v>
      </c>
      <c r="S2" s="43"/>
      <c r="T2" s="43"/>
      <c r="U2" s="43"/>
      <c r="Y2" s="43" t="s">
        <v>105</v>
      </c>
      <c r="Z2" s="43"/>
      <c r="AA2" s="43"/>
      <c r="AB2" s="43"/>
      <c r="AE2" s="43" t="s">
        <v>95</v>
      </c>
      <c r="AF2" s="43"/>
      <c r="AG2" s="43"/>
      <c r="AK2" s="43" t="s">
        <v>95</v>
      </c>
      <c r="AL2" s="43"/>
      <c r="AM2" s="43"/>
    </row>
    <row r="3" spans="1:39" ht="19" x14ac:dyDescent="0.25">
      <c r="A3" s="13">
        <v>1</v>
      </c>
      <c r="B3" s="13" t="s">
        <v>38</v>
      </c>
      <c r="I3" s="107" t="s">
        <v>39</v>
      </c>
      <c r="J3" s="107"/>
      <c r="K3" s="107" t="s">
        <v>40</v>
      </c>
      <c r="L3" s="107"/>
      <c r="M3" s="97"/>
      <c r="N3" s="71"/>
      <c r="O3" s="71"/>
      <c r="P3" s="107" t="s">
        <v>39</v>
      </c>
      <c r="Q3" s="107"/>
      <c r="R3" s="107" t="s">
        <v>40</v>
      </c>
      <c r="S3" s="107"/>
      <c r="T3" s="62"/>
      <c r="U3" s="71"/>
      <c r="W3" s="107" t="s">
        <v>39</v>
      </c>
      <c r="X3" s="107"/>
      <c r="Y3" s="107" t="s">
        <v>40</v>
      </c>
      <c r="Z3" s="107"/>
      <c r="AA3" s="91"/>
      <c r="AB3" s="91"/>
      <c r="AC3" s="63"/>
      <c r="AD3" s="63"/>
      <c r="AE3" s="63"/>
      <c r="AF3" s="63"/>
      <c r="AG3" s="62"/>
      <c r="AI3" s="63"/>
      <c r="AJ3" s="63"/>
      <c r="AK3" s="63"/>
      <c r="AL3" s="63"/>
      <c r="AM3" s="62"/>
    </row>
    <row r="4" spans="1:39" ht="68" x14ac:dyDescent="0.25">
      <c r="A4" s="13"/>
      <c r="B4" s="13"/>
      <c r="I4" s="44" t="s">
        <v>3</v>
      </c>
      <c r="J4" s="45" t="s">
        <v>41</v>
      </c>
      <c r="K4" s="44" t="s">
        <v>3</v>
      </c>
      <c r="L4" s="45" t="s">
        <v>41</v>
      </c>
      <c r="M4" s="45" t="s">
        <v>42</v>
      </c>
      <c r="N4" s="77" t="s">
        <v>100</v>
      </c>
      <c r="O4" s="77"/>
      <c r="P4" s="44" t="s">
        <v>3</v>
      </c>
      <c r="Q4" s="45" t="s">
        <v>41</v>
      </c>
      <c r="R4" s="44" t="s">
        <v>3</v>
      </c>
      <c r="S4" s="45" t="s">
        <v>41</v>
      </c>
      <c r="T4" s="45" t="s">
        <v>42</v>
      </c>
      <c r="U4" s="77" t="s">
        <v>100</v>
      </c>
      <c r="W4" s="44" t="s">
        <v>3</v>
      </c>
      <c r="X4" s="45" t="s">
        <v>41</v>
      </c>
      <c r="Y4" s="44" t="s">
        <v>3</v>
      </c>
      <c r="Z4" s="45" t="s">
        <v>41</v>
      </c>
      <c r="AA4" s="45" t="s">
        <v>42</v>
      </c>
      <c r="AB4" s="45"/>
      <c r="AC4" s="64" t="s">
        <v>96</v>
      </c>
      <c r="AD4" s="45" t="s">
        <v>97</v>
      </c>
      <c r="AE4" s="64" t="s">
        <v>98</v>
      </c>
      <c r="AF4" s="45" t="s">
        <v>99</v>
      </c>
      <c r="AG4" s="45" t="s">
        <v>42</v>
      </c>
      <c r="AI4" s="64" t="s">
        <v>96</v>
      </c>
      <c r="AJ4" s="45" t="s">
        <v>97</v>
      </c>
      <c r="AK4" s="64" t="s">
        <v>98</v>
      </c>
      <c r="AL4" s="45" t="s">
        <v>99</v>
      </c>
      <c r="AM4" s="45" t="s">
        <v>42</v>
      </c>
    </row>
    <row r="5" spans="1:39" ht="16" x14ac:dyDescent="0.2">
      <c r="A5" s="24" t="s">
        <v>43</v>
      </c>
      <c r="B5" s="2" t="s">
        <v>47</v>
      </c>
      <c r="I5" s="7"/>
      <c r="K5" s="6"/>
      <c r="M5" s="46">
        <f>L5+K5+J5+I5</f>
        <v>0</v>
      </c>
      <c r="N5" s="72">
        <f>AVERAGE(U5,AA5,AG5)</f>
        <v>0</v>
      </c>
      <c r="O5" s="72"/>
      <c r="P5" s="7"/>
      <c r="R5" s="6"/>
      <c r="T5" s="46">
        <f>S5+R5+Q5+P5</f>
        <v>0</v>
      </c>
      <c r="U5" s="72">
        <f>AVERAGE(AA5,AG5,AM5)</f>
        <v>0</v>
      </c>
      <c r="W5" s="7"/>
      <c r="Y5" s="6"/>
      <c r="AA5" s="46">
        <f>Z5+Y5+X5+W5</f>
        <v>0</v>
      </c>
      <c r="AB5" s="46"/>
      <c r="AG5" s="8">
        <f>AE5/950</f>
        <v>0</v>
      </c>
      <c r="AM5" s="8">
        <f>AK5/950</f>
        <v>0</v>
      </c>
    </row>
    <row r="6" spans="1:39" ht="16" x14ac:dyDescent="0.2">
      <c r="A6" s="24" t="s">
        <v>44</v>
      </c>
      <c r="B6" s="89" t="s">
        <v>49</v>
      </c>
      <c r="C6" s="84"/>
      <c r="D6" s="84"/>
      <c r="E6" s="84"/>
      <c r="F6" s="84"/>
      <c r="I6" s="7"/>
      <c r="K6" s="6"/>
      <c r="M6" s="49">
        <v>20</v>
      </c>
      <c r="N6" s="72">
        <f>AVERAGE(T6,AA6,AG6)</f>
        <v>21.047543859649121</v>
      </c>
      <c r="O6" s="72"/>
      <c r="P6" s="7">
        <v>20.43</v>
      </c>
      <c r="R6" s="6"/>
      <c r="T6" s="49">
        <f>P6</f>
        <v>20.43</v>
      </c>
      <c r="U6" s="72">
        <f>P6</f>
        <v>20.43</v>
      </c>
      <c r="W6" s="7">
        <v>21.22</v>
      </c>
      <c r="Y6" s="6"/>
      <c r="AA6" s="49">
        <v>21.22</v>
      </c>
      <c r="AB6" s="46"/>
      <c r="AC6" s="7">
        <v>20418</v>
      </c>
      <c r="AE6" s="8">
        <f>AD6+AC6</f>
        <v>20418</v>
      </c>
      <c r="AG6" s="8">
        <f>AE6/950</f>
        <v>21.492631578947368</v>
      </c>
      <c r="AI6" s="7">
        <v>22408</v>
      </c>
      <c r="AK6" s="8">
        <f>AJ6+AI6</f>
        <v>22408</v>
      </c>
      <c r="AM6" s="8">
        <f>AK6/950</f>
        <v>23.587368421052631</v>
      </c>
    </row>
    <row r="7" spans="1:39" ht="16" x14ac:dyDescent="0.2">
      <c r="A7" s="24" t="s">
        <v>48</v>
      </c>
      <c r="B7" s="89" t="s">
        <v>50</v>
      </c>
      <c r="C7" s="84"/>
      <c r="D7" s="84"/>
      <c r="E7" s="84"/>
      <c r="F7" s="84"/>
      <c r="I7" s="7"/>
      <c r="K7" s="6"/>
      <c r="M7" s="46">
        <f>L7+K7+J7+I7</f>
        <v>0</v>
      </c>
      <c r="N7" s="72">
        <f>AVERAGE(T7,AA7,AG7)</f>
        <v>12.753333333333332</v>
      </c>
      <c r="O7" s="72"/>
      <c r="P7" s="7">
        <v>38.26</v>
      </c>
      <c r="R7" s="6"/>
      <c r="T7" s="46">
        <f>S7+R7+Q7+P7</f>
        <v>38.26</v>
      </c>
      <c r="U7" s="72">
        <f t="shared" ref="U7:U11" si="0">AVERAGE(AA7,AG7,AM7)</f>
        <v>0</v>
      </c>
      <c r="W7" s="7"/>
      <c r="Y7" s="6"/>
      <c r="AA7" s="46">
        <f>Z7+Y7+X7+W7</f>
        <v>0</v>
      </c>
      <c r="AB7" s="46"/>
      <c r="AG7" s="8">
        <f>AE7/950</f>
        <v>0</v>
      </c>
      <c r="AM7" s="8">
        <f>AK7/950</f>
        <v>0</v>
      </c>
    </row>
    <row r="8" spans="1:39" ht="16" x14ac:dyDescent="0.2">
      <c r="A8" s="27" t="s">
        <v>45</v>
      </c>
      <c r="B8" s="19" t="s">
        <v>51</v>
      </c>
      <c r="C8" s="20"/>
      <c r="D8" s="20"/>
      <c r="E8" s="20"/>
      <c r="F8" s="20"/>
      <c r="G8" s="20"/>
      <c r="H8" s="20"/>
      <c r="I8" s="21"/>
      <c r="J8" s="20"/>
      <c r="K8" s="22"/>
      <c r="L8" s="20"/>
      <c r="M8" s="47">
        <v>50</v>
      </c>
      <c r="N8" s="72">
        <f>AVERAGE(U8,AA8,AG8)</f>
        <v>54.401520467836257</v>
      </c>
      <c r="O8" s="72"/>
      <c r="P8" s="21">
        <v>47.79</v>
      </c>
      <c r="Q8" s="20"/>
      <c r="R8" s="22"/>
      <c r="S8" s="20"/>
      <c r="T8" s="47">
        <f>P8</f>
        <v>47.79</v>
      </c>
      <c r="U8" s="72">
        <f t="shared" si="0"/>
        <v>50.95456140350877</v>
      </c>
      <c r="V8" s="20"/>
      <c r="W8" s="21">
        <v>62.63</v>
      </c>
      <c r="X8" s="20"/>
      <c r="Y8" s="22"/>
      <c r="Z8" s="20"/>
      <c r="AA8" s="47">
        <v>62.63</v>
      </c>
      <c r="AB8" s="47"/>
      <c r="AC8" s="66">
        <v>47139</v>
      </c>
      <c r="AD8" s="20"/>
      <c r="AE8" s="8">
        <f>AD8+AC8</f>
        <v>47139</v>
      </c>
      <c r="AF8" s="20"/>
      <c r="AG8" s="8">
        <f>AE8/950</f>
        <v>49.62</v>
      </c>
      <c r="AH8" s="20"/>
      <c r="AI8" s="66">
        <v>38583</v>
      </c>
      <c r="AJ8" s="20"/>
      <c r="AK8" s="8">
        <f>AJ8+AI8</f>
        <v>38583</v>
      </c>
      <c r="AL8" s="20"/>
      <c r="AM8" s="8">
        <f>AK8/950</f>
        <v>40.613684210526316</v>
      </c>
    </row>
    <row r="9" spans="1:39" ht="16" x14ac:dyDescent="0.2">
      <c r="A9" s="27" t="s">
        <v>46</v>
      </c>
      <c r="B9" s="19" t="s">
        <v>55</v>
      </c>
      <c r="C9" s="20"/>
      <c r="D9" s="20"/>
      <c r="E9" s="20"/>
      <c r="F9" s="20"/>
      <c r="G9" s="20"/>
      <c r="H9" s="20"/>
      <c r="I9" s="21"/>
      <c r="J9" s="20"/>
      <c r="K9" s="22"/>
      <c r="L9" s="20"/>
      <c r="M9" s="47">
        <v>70</v>
      </c>
      <c r="N9" s="72">
        <f>AVERAGE(U9,AA9,AG9)</f>
        <v>73.699375555555562</v>
      </c>
      <c r="O9" s="72"/>
      <c r="P9" s="21">
        <f>3398*0.00579</f>
        <v>19.674420000000001</v>
      </c>
      <c r="Q9" s="20"/>
      <c r="R9" s="22">
        <f>9413*0.00579</f>
        <v>54.501269999999998</v>
      </c>
      <c r="S9" s="20"/>
      <c r="T9" s="47">
        <f>P9+R9</f>
        <v>74.175690000000003</v>
      </c>
      <c r="U9" s="72">
        <f t="shared" si="0"/>
        <v>70.736726666666669</v>
      </c>
      <c r="V9" s="20"/>
      <c r="W9" s="21">
        <v>11.09</v>
      </c>
      <c r="X9" s="20"/>
      <c r="Y9" s="22">
        <v>60.18</v>
      </c>
      <c r="Z9" s="20"/>
      <c r="AA9" s="47">
        <v>71.27</v>
      </c>
      <c r="AB9" s="47"/>
      <c r="AC9" s="21">
        <v>1943</v>
      </c>
      <c r="AD9" s="21">
        <v>11717</v>
      </c>
      <c r="AE9" s="8">
        <f>AD9+AC9</f>
        <v>13660</v>
      </c>
      <c r="AF9" s="20"/>
      <c r="AG9" s="8">
        <f>AE9*0.00579</f>
        <v>79.091399999999993</v>
      </c>
      <c r="AH9" s="20"/>
      <c r="AI9" s="21">
        <v>2352</v>
      </c>
      <c r="AJ9" s="21">
        <v>8330</v>
      </c>
      <c r="AK9" s="8">
        <f>AJ9+AI9</f>
        <v>10682</v>
      </c>
      <c r="AL9" s="20"/>
      <c r="AM9" s="8">
        <f>AK9*0.00579</f>
        <v>61.848779999999998</v>
      </c>
    </row>
    <row r="10" spans="1:39" ht="16" x14ac:dyDescent="0.2">
      <c r="A10" s="27" t="s">
        <v>52</v>
      </c>
      <c r="B10" s="19" t="s">
        <v>56</v>
      </c>
      <c r="C10" s="20"/>
      <c r="D10" s="20"/>
      <c r="E10" s="20"/>
      <c r="F10" s="20"/>
      <c r="G10" s="20"/>
      <c r="H10" s="20"/>
      <c r="I10" s="21"/>
      <c r="J10" s="20"/>
      <c r="K10" s="22"/>
      <c r="L10" s="20"/>
      <c r="M10" s="47">
        <f>L10+K10+J10+I10</f>
        <v>0</v>
      </c>
      <c r="N10" s="72">
        <f>AVERAGE(U10,AA10,AG10)</f>
        <v>0</v>
      </c>
      <c r="O10" s="72"/>
      <c r="P10" s="21"/>
      <c r="Q10" s="20"/>
      <c r="R10" s="22"/>
      <c r="S10" s="20"/>
      <c r="T10" s="47">
        <f>S10+R10+Q10+P10</f>
        <v>0</v>
      </c>
      <c r="U10" s="72">
        <f t="shared" si="0"/>
        <v>0</v>
      </c>
      <c r="V10" s="20"/>
      <c r="W10" s="21"/>
      <c r="X10" s="20"/>
      <c r="Y10" s="22"/>
      <c r="Z10" s="20"/>
      <c r="AA10" s="47">
        <f>Z10+Y10+X10+W10</f>
        <v>0</v>
      </c>
      <c r="AB10" s="47"/>
      <c r="AC10" s="20"/>
      <c r="AD10" s="20"/>
      <c r="AE10" s="20"/>
      <c r="AF10" s="20"/>
      <c r="AG10" s="8">
        <f>AE10/950</f>
        <v>0</v>
      </c>
      <c r="AH10" s="20"/>
      <c r="AI10" s="20"/>
      <c r="AJ10" s="20"/>
      <c r="AK10" s="20"/>
      <c r="AL10" s="20"/>
      <c r="AM10" s="8">
        <f>AK10/950</f>
        <v>0</v>
      </c>
    </row>
    <row r="11" spans="1:39" ht="16" x14ac:dyDescent="0.2">
      <c r="A11" s="25" t="s">
        <v>53</v>
      </c>
      <c r="B11" s="14" t="s">
        <v>57</v>
      </c>
      <c r="C11" s="15"/>
      <c r="D11" s="15"/>
      <c r="E11" s="15"/>
      <c r="F11" s="15"/>
      <c r="G11" s="15"/>
      <c r="H11" s="15"/>
      <c r="I11" s="16"/>
      <c r="J11" s="15"/>
      <c r="K11" s="17"/>
      <c r="L11" s="15"/>
      <c r="M11" s="48">
        <f>L11+K11+J11+I11</f>
        <v>0</v>
      </c>
      <c r="N11" s="73">
        <f>AVERAGE(U11,AA11,AG11)</f>
        <v>0</v>
      </c>
      <c r="O11" s="73"/>
      <c r="P11" s="16"/>
      <c r="Q11" s="15"/>
      <c r="R11" s="17"/>
      <c r="S11" s="15"/>
      <c r="T11" s="48">
        <f>S11+R11+Q11+P11</f>
        <v>0</v>
      </c>
      <c r="U11" s="73">
        <f t="shared" si="0"/>
        <v>0</v>
      </c>
      <c r="V11" s="15"/>
      <c r="W11" s="16"/>
      <c r="X11" s="15"/>
      <c r="Y11" s="17"/>
      <c r="Z11" s="15"/>
      <c r="AA11" s="48">
        <f>Z11+Y11+X11+W11</f>
        <v>0</v>
      </c>
      <c r="AB11" s="48"/>
      <c r="AC11" s="15"/>
      <c r="AD11" s="15"/>
      <c r="AE11" s="15"/>
      <c r="AF11" s="15"/>
      <c r="AG11" s="57">
        <f>AE11/950</f>
        <v>0</v>
      </c>
      <c r="AH11" s="15"/>
      <c r="AI11" s="15"/>
      <c r="AJ11" s="15"/>
      <c r="AK11" s="15"/>
      <c r="AL11" s="15"/>
      <c r="AM11" s="57">
        <f>AK11/950</f>
        <v>0</v>
      </c>
    </row>
    <row r="12" spans="1:39" ht="16" x14ac:dyDescent="0.2">
      <c r="A12" s="26" t="s">
        <v>54</v>
      </c>
      <c r="B12" s="10" t="s">
        <v>58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55">
        <f>SUM(M5:M11)</f>
        <v>140</v>
      </c>
      <c r="N12" s="72">
        <f>AVERAGE(U12,AA12,AG12)</f>
        <v>149.70510654970761</v>
      </c>
      <c r="O12" s="72"/>
      <c r="P12" s="55">
        <f>SUM(P5:P11)</f>
        <v>126.15441999999999</v>
      </c>
      <c r="Q12" s="11"/>
      <c r="R12" s="55">
        <f>SUM(R5:R11)</f>
        <v>54.501269999999998</v>
      </c>
      <c r="S12" s="11"/>
      <c r="T12" s="55">
        <f>SUM(P12:S12)</f>
        <v>180.65568999999999</v>
      </c>
      <c r="U12" s="72">
        <f>AVERAGE(AA12,AG12,AM12)</f>
        <v>143.79128807017545</v>
      </c>
      <c r="W12" s="55">
        <f>SUM(W5:W11)</f>
        <v>94.94</v>
      </c>
      <c r="X12" s="11"/>
      <c r="Y12" s="55">
        <f>SUM(Y5:Y11)</f>
        <v>60.18</v>
      </c>
      <c r="Z12" s="11"/>
      <c r="AA12" s="55">
        <f>SUM(AA5:AA11)</f>
        <v>155.12</v>
      </c>
      <c r="AB12" s="55"/>
      <c r="AC12" s="55">
        <f>SUM(AC5:AC11)</f>
        <v>69500</v>
      </c>
      <c r="AD12" s="55">
        <f>SUM(AD5:AD11)</f>
        <v>11717</v>
      </c>
      <c r="AE12" s="55">
        <f>SUM(AE5:AE11)</f>
        <v>81217</v>
      </c>
      <c r="AG12" s="55">
        <f>SUM(AG5:AG11)</f>
        <v>150.20403157894737</v>
      </c>
      <c r="AI12" s="55">
        <f>SUM(AI5:AI11)</f>
        <v>63343</v>
      </c>
      <c r="AJ12" s="55">
        <f>SUM(AJ5:AJ11)</f>
        <v>8330</v>
      </c>
      <c r="AK12" s="55">
        <f>SUM(AK5:AK11)</f>
        <v>71673</v>
      </c>
      <c r="AM12" s="55">
        <f>SUM(AM5:AM11)</f>
        <v>126.04983263157894</v>
      </c>
    </row>
    <row r="13" spans="1:39" x14ac:dyDescent="0.2">
      <c r="B13" t="s">
        <v>59</v>
      </c>
      <c r="N13" s="74"/>
      <c r="O13" s="74"/>
      <c r="U13" s="74"/>
    </row>
    <row r="14" spans="1:39" ht="16" x14ac:dyDescent="0.2">
      <c r="A14" s="27" t="s">
        <v>60</v>
      </c>
      <c r="B14" s="19" t="s">
        <v>66</v>
      </c>
      <c r="C14" s="20"/>
      <c r="D14" s="20"/>
      <c r="E14" s="20"/>
      <c r="F14" s="20"/>
      <c r="G14" s="20"/>
      <c r="H14" s="20"/>
      <c r="I14" s="21"/>
      <c r="J14" s="20"/>
      <c r="K14" s="22"/>
      <c r="L14" s="20"/>
      <c r="M14" s="47">
        <f>L14+K14+J14+I14</f>
        <v>0</v>
      </c>
      <c r="N14" s="72">
        <f>AVERAGE(U14,AA14,AG14)</f>
        <v>0.11321637426900584</v>
      </c>
      <c r="O14" s="72"/>
      <c r="P14" s="21"/>
      <c r="Q14" s="20"/>
      <c r="R14" s="22"/>
      <c r="S14" s="20"/>
      <c r="T14" s="47">
        <f>S14+R14+Q14+P14</f>
        <v>0</v>
      </c>
      <c r="U14" s="72">
        <f>AVERAGE(AA14,AG14,AM14)</f>
        <v>8.4912280701754383E-2</v>
      </c>
      <c r="V14" s="20"/>
      <c r="W14" s="21"/>
      <c r="X14" s="20"/>
      <c r="Y14" s="22"/>
      <c r="Z14" s="20"/>
      <c r="AA14" s="47">
        <f>Z14+Y14+X14+W14</f>
        <v>0</v>
      </c>
      <c r="AB14" s="47"/>
      <c r="AC14" s="70">
        <v>242</v>
      </c>
      <c r="AD14" s="20"/>
      <c r="AE14" s="8">
        <f>AD14+AC14</f>
        <v>242</v>
      </c>
      <c r="AF14" s="20"/>
      <c r="AG14" s="8">
        <f>AE14/950</f>
        <v>0.25473684210526315</v>
      </c>
      <c r="AH14" s="20"/>
      <c r="AI14" s="21">
        <v>0</v>
      </c>
      <c r="AJ14" s="20"/>
      <c r="AK14" s="8">
        <f>AJ14+AI14</f>
        <v>0</v>
      </c>
      <c r="AL14" s="20"/>
      <c r="AM14" s="8">
        <f>AK14/950</f>
        <v>0</v>
      </c>
    </row>
    <row r="15" spans="1:39" ht="16" x14ac:dyDescent="0.2">
      <c r="A15" s="27" t="s">
        <v>61</v>
      </c>
      <c r="B15" s="19" t="s">
        <v>67</v>
      </c>
      <c r="C15" s="20"/>
      <c r="D15" s="20"/>
      <c r="E15" s="20"/>
      <c r="F15" s="20"/>
      <c r="G15" s="20"/>
      <c r="H15" s="20"/>
      <c r="I15" s="21"/>
      <c r="J15" s="20"/>
      <c r="K15" s="22"/>
      <c r="L15" s="20"/>
      <c r="M15" s="94">
        <v>10</v>
      </c>
      <c r="N15" s="72">
        <f>AVERAGE(U15,AA15,AG15)</f>
        <v>5.9328654970760235</v>
      </c>
      <c r="O15" s="72"/>
      <c r="P15" s="21">
        <v>11.06</v>
      </c>
      <c r="Q15" s="20"/>
      <c r="R15" s="22"/>
      <c r="S15" s="20"/>
      <c r="T15" s="94">
        <f>P15</f>
        <v>11.06</v>
      </c>
      <c r="U15" s="72">
        <f t="shared" ref="U15:U17" si="1">AVERAGE(AA15,AG15,AM15)</f>
        <v>5.3738596491228066</v>
      </c>
      <c r="V15" s="20"/>
      <c r="W15" s="21">
        <v>11.67</v>
      </c>
      <c r="X15" s="20"/>
      <c r="Y15" s="22"/>
      <c r="Z15" s="20"/>
      <c r="AA15" s="94">
        <v>11.67</v>
      </c>
      <c r="AB15" s="47"/>
      <c r="AC15" s="21">
        <v>717</v>
      </c>
      <c r="AD15" s="20"/>
      <c r="AE15" s="8">
        <f>AD15+AC15</f>
        <v>717</v>
      </c>
      <c r="AF15" s="20"/>
      <c r="AG15" s="8">
        <f>AE15/950</f>
        <v>0.75473684210526315</v>
      </c>
      <c r="AH15" s="20"/>
      <c r="AI15" s="21">
        <v>3512</v>
      </c>
      <c r="AJ15" s="20"/>
      <c r="AK15" s="8">
        <f>AJ15+AI15</f>
        <v>3512</v>
      </c>
      <c r="AL15" s="20"/>
      <c r="AM15" s="8">
        <f>AK15/950</f>
        <v>3.6968421052631579</v>
      </c>
    </row>
    <row r="16" spans="1:39" ht="16" x14ac:dyDescent="0.2">
      <c r="A16" s="25" t="s">
        <v>62</v>
      </c>
      <c r="B16" s="14" t="s">
        <v>68</v>
      </c>
      <c r="C16" s="15"/>
      <c r="D16" s="15"/>
      <c r="E16" s="15"/>
      <c r="F16" s="15"/>
      <c r="G16" s="15"/>
      <c r="H16" s="15"/>
      <c r="I16" s="16"/>
      <c r="J16" s="15"/>
      <c r="K16" s="17"/>
      <c r="L16" s="15"/>
      <c r="M16" s="50">
        <v>7</v>
      </c>
      <c r="N16" s="73">
        <f>AVERAGE(U16,AA16,AG16)</f>
        <v>5.2301754385964907</v>
      </c>
      <c r="O16" s="73"/>
      <c r="P16" s="16">
        <v>9.2100000000000009</v>
      </c>
      <c r="Q16" s="15"/>
      <c r="R16" s="17"/>
      <c r="S16" s="15"/>
      <c r="T16" s="50">
        <f>P16</f>
        <v>9.2100000000000009</v>
      </c>
      <c r="U16" s="73">
        <f t="shared" si="1"/>
        <v>3.9226315789473687</v>
      </c>
      <c r="V16" s="15"/>
      <c r="W16" s="16">
        <v>7.31</v>
      </c>
      <c r="X16" s="15"/>
      <c r="Y16" s="17"/>
      <c r="Z16" s="15"/>
      <c r="AA16" s="50">
        <v>7.31</v>
      </c>
      <c r="AB16" s="48"/>
      <c r="AC16" s="16">
        <v>4235</v>
      </c>
      <c r="AD16" s="15"/>
      <c r="AE16" s="57">
        <f>AD16+AC16</f>
        <v>4235</v>
      </c>
      <c r="AF16" s="15"/>
      <c r="AG16" s="57">
        <f>AE16/950</f>
        <v>4.4578947368421051</v>
      </c>
      <c r="AH16" s="15"/>
      <c r="AI16" s="16">
        <v>0</v>
      </c>
      <c r="AJ16" s="15"/>
      <c r="AK16" s="57">
        <f>AJ16+AI16</f>
        <v>0</v>
      </c>
      <c r="AL16" s="15"/>
      <c r="AM16" s="57">
        <f>AK16/950</f>
        <v>0</v>
      </c>
    </row>
    <row r="17" spans="1:39" ht="16" x14ac:dyDescent="0.2">
      <c r="A17" s="26" t="s">
        <v>63</v>
      </c>
      <c r="B17" s="10" t="s">
        <v>64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55">
        <f>SUM(M12:M16)</f>
        <v>157</v>
      </c>
      <c r="N17" s="72">
        <f>AVERAGE(U17,AA17,AG17)</f>
        <v>160.98136385964912</v>
      </c>
      <c r="O17" s="72"/>
      <c r="P17" s="55">
        <f>SUM(P14:P16)</f>
        <v>20.270000000000003</v>
      </c>
      <c r="Q17" s="11"/>
      <c r="R17" s="11"/>
      <c r="S17" s="11"/>
      <c r="T17" s="55">
        <f>SUM(T12:T16)</f>
        <v>200.92569</v>
      </c>
      <c r="U17" s="72">
        <f t="shared" si="1"/>
        <v>153.17269157894737</v>
      </c>
      <c r="W17" s="55">
        <f>W12+W15+W16</f>
        <v>113.92</v>
      </c>
      <c r="X17" s="11"/>
      <c r="Y17" s="11"/>
      <c r="Z17" s="11"/>
      <c r="AA17" s="55">
        <f>SUM(AA12:AA16)</f>
        <v>174.1</v>
      </c>
      <c r="AB17" s="55"/>
      <c r="AC17" s="55">
        <f>SUM(AC12:AC16)</f>
        <v>74694</v>
      </c>
      <c r="AD17" s="55">
        <f>SUM(AD12:AD16)</f>
        <v>11717</v>
      </c>
      <c r="AE17" s="55">
        <f>SUM(AE12:AE16)</f>
        <v>86411</v>
      </c>
      <c r="AG17" s="55">
        <f>SUM(AG12:AG16)</f>
        <v>155.67140000000001</v>
      </c>
      <c r="AI17" s="55">
        <f>SUM(AI12:AI16)</f>
        <v>66855</v>
      </c>
      <c r="AJ17" s="55">
        <f>SUM(AJ12:AJ16)</f>
        <v>8330</v>
      </c>
      <c r="AK17" s="55">
        <f>SUM(AK12:AK16)</f>
        <v>75185</v>
      </c>
      <c r="AM17" s="55">
        <f>SUM(AM12:AM16)</f>
        <v>129.7466747368421</v>
      </c>
    </row>
    <row r="18" spans="1:39" x14ac:dyDescent="0.2">
      <c r="B18" t="s">
        <v>65</v>
      </c>
      <c r="N18" s="74"/>
      <c r="O18" s="74"/>
      <c r="U18" s="74"/>
    </row>
    <row r="19" spans="1:39" x14ac:dyDescent="0.2">
      <c r="N19" s="74"/>
      <c r="O19" s="74"/>
      <c r="U19" s="74"/>
      <c r="AG19" t="s">
        <v>103</v>
      </c>
    </row>
    <row r="20" spans="1:39" ht="19" x14ac:dyDescent="0.25">
      <c r="A20" s="13">
        <v>2</v>
      </c>
      <c r="B20" s="11" t="s">
        <v>69</v>
      </c>
      <c r="I20" s="5"/>
      <c r="J20" s="5"/>
      <c r="K20" s="5"/>
      <c r="L20" s="4"/>
      <c r="M20" s="5"/>
      <c r="N20" s="75"/>
      <c r="O20" s="75"/>
      <c r="P20" s="5"/>
      <c r="Q20" s="5"/>
      <c r="R20" s="5"/>
      <c r="S20" s="4"/>
      <c r="T20" s="5"/>
      <c r="U20" s="75"/>
      <c r="W20" s="5"/>
      <c r="X20" s="5"/>
      <c r="Y20" s="5"/>
      <c r="Z20" s="4"/>
      <c r="AA20" s="5"/>
      <c r="AB20" s="5"/>
      <c r="AC20" s="3"/>
      <c r="AE20" s="3"/>
      <c r="AG20" s="87">
        <f>(AG17-AM17)/AM17</f>
        <v>0.19981032512578512</v>
      </c>
      <c r="AI20" s="3"/>
      <c r="AK20" s="3"/>
      <c r="AM20" s="3"/>
    </row>
    <row r="21" spans="1:39" ht="16" x14ac:dyDescent="0.2">
      <c r="A21" s="24" t="s">
        <v>70</v>
      </c>
      <c r="B21" s="2" t="s">
        <v>86</v>
      </c>
      <c r="I21" s="7"/>
      <c r="K21" s="6"/>
      <c r="M21" s="49">
        <v>0</v>
      </c>
      <c r="N21" s="72">
        <f>IF(AA21&gt;0,AVERAGE(U21,AA21,AG21),0)</f>
        <v>0</v>
      </c>
      <c r="O21" s="72"/>
      <c r="P21" s="7"/>
      <c r="R21" s="6"/>
      <c r="T21" s="49">
        <v>0</v>
      </c>
      <c r="U21" s="72">
        <f>IF(AG21&gt;0,AVERAGE(AA21,AG21,AM21),0)</f>
        <v>0</v>
      </c>
      <c r="W21" s="7"/>
      <c r="Y21" s="6"/>
      <c r="AA21" s="49">
        <v>0</v>
      </c>
      <c r="AB21" s="49"/>
    </row>
    <row r="22" spans="1:39" ht="16" x14ac:dyDescent="0.2">
      <c r="A22" s="24" t="s">
        <v>71</v>
      </c>
      <c r="B22" s="2" t="s">
        <v>87</v>
      </c>
      <c r="I22" s="7"/>
      <c r="K22" s="6"/>
      <c r="M22" s="49">
        <v>150</v>
      </c>
      <c r="N22" s="72">
        <f>IF(AA22&gt;0,AVERAGE(U22,AA22,AG22),0)</f>
        <v>148.73157894736843</v>
      </c>
      <c r="O22" s="72"/>
      <c r="P22" s="7">
        <v>151.15</v>
      </c>
      <c r="R22" s="6"/>
      <c r="T22" s="49">
        <f>P22</f>
        <v>151.15</v>
      </c>
      <c r="U22" s="72">
        <f t="shared" ref="U22:U25" si="2">IF(AG22&gt;0,AVERAGE(AA22,AG22,AM22),0)</f>
        <v>150.83263157894737</v>
      </c>
      <c r="W22" s="7"/>
      <c r="Y22" s="6"/>
      <c r="AA22" s="49">
        <v>154.02000000000001</v>
      </c>
      <c r="AB22" s="49"/>
      <c r="AE22" s="7">
        <v>134275</v>
      </c>
      <c r="AG22" s="8">
        <f>AE22/950</f>
        <v>141.34210526315789</v>
      </c>
      <c r="AK22" s="7">
        <v>149279</v>
      </c>
      <c r="AM22" s="8">
        <f>AK22/950</f>
        <v>157.13578947368421</v>
      </c>
    </row>
    <row r="23" spans="1:39" ht="16" x14ac:dyDescent="0.2">
      <c r="A23" s="24" t="s">
        <v>72</v>
      </c>
      <c r="B23" s="19" t="s">
        <v>85</v>
      </c>
      <c r="I23" s="7"/>
      <c r="K23" s="6"/>
      <c r="M23" s="49">
        <v>0</v>
      </c>
      <c r="N23" s="72">
        <f>IF(AA23&gt;0,AVERAGE(U23,AA23,AG23),0)</f>
        <v>0</v>
      </c>
      <c r="O23" s="72"/>
      <c r="P23" s="7"/>
      <c r="R23" s="6"/>
      <c r="T23" s="49">
        <v>0</v>
      </c>
      <c r="U23" s="72">
        <f t="shared" si="2"/>
        <v>0</v>
      </c>
      <c r="W23" s="7"/>
      <c r="Y23" s="6"/>
      <c r="AA23" s="49">
        <v>0</v>
      </c>
      <c r="AB23" s="49"/>
    </row>
    <row r="24" spans="1:39" ht="16" x14ac:dyDescent="0.2">
      <c r="A24" s="27" t="s">
        <v>73</v>
      </c>
      <c r="B24" s="19" t="s">
        <v>84</v>
      </c>
      <c r="C24" s="20"/>
      <c r="D24" s="20"/>
      <c r="E24" s="20"/>
      <c r="F24" s="20"/>
      <c r="G24" s="20"/>
      <c r="H24" s="20"/>
      <c r="J24" s="20"/>
      <c r="K24" s="23"/>
      <c r="M24" s="49">
        <v>0</v>
      </c>
      <c r="N24" s="72">
        <f>IF(AA24&gt;0,AVERAGE(U24,AA24,AG24),0)</f>
        <v>0</v>
      </c>
      <c r="O24" s="72"/>
      <c r="Q24" s="20"/>
      <c r="R24" s="23"/>
      <c r="T24" s="49">
        <v>0</v>
      </c>
      <c r="U24" s="72">
        <f t="shared" si="2"/>
        <v>0</v>
      </c>
      <c r="V24" s="20"/>
      <c r="X24" s="20"/>
      <c r="Y24" s="23"/>
      <c r="AA24" s="49">
        <v>0</v>
      </c>
      <c r="AB24" s="4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ht="16" x14ac:dyDescent="0.2">
      <c r="A25" s="27" t="s">
        <v>74</v>
      </c>
      <c r="B25" s="19" t="s">
        <v>80</v>
      </c>
      <c r="C25" s="20"/>
      <c r="D25" s="20"/>
      <c r="E25" s="20"/>
      <c r="F25" s="20"/>
      <c r="G25" s="20"/>
      <c r="H25" s="20"/>
      <c r="I25" s="28"/>
      <c r="J25" s="20"/>
      <c r="K25" s="23"/>
      <c r="M25" s="49">
        <f>SUM(M21:M24)</f>
        <v>150</v>
      </c>
      <c r="N25" s="72">
        <f>IF(AA25&gt;0,AVERAGE(U25,AA25,AG25),0)</f>
        <v>148.73157894736843</v>
      </c>
      <c r="O25" s="72"/>
      <c r="P25" s="28">
        <f>SUM(P21:P24)</f>
        <v>151.15</v>
      </c>
      <c r="Q25" s="20"/>
      <c r="R25" s="23"/>
      <c r="T25" s="49">
        <f>SUM(T21:T24)</f>
        <v>151.15</v>
      </c>
      <c r="U25" s="72">
        <f t="shared" si="2"/>
        <v>150.83263157894737</v>
      </c>
      <c r="V25" s="20"/>
      <c r="W25" s="28"/>
      <c r="X25" s="20"/>
      <c r="Y25" s="23"/>
      <c r="AA25" s="49">
        <f>SUM(AA21:AA24)</f>
        <v>154.02000000000001</v>
      </c>
      <c r="AB25" s="49"/>
      <c r="AC25" s="20"/>
      <c r="AD25" s="20"/>
      <c r="AE25" s="68">
        <f>SUM(AE21:AE24)</f>
        <v>134275</v>
      </c>
      <c r="AF25" s="20"/>
      <c r="AG25" s="8">
        <f>AE25/950</f>
        <v>141.34210526315789</v>
      </c>
      <c r="AH25" s="20"/>
      <c r="AI25" s="20"/>
      <c r="AJ25" s="20"/>
      <c r="AK25" s="68">
        <f>SUM(AK21:AK24)</f>
        <v>149279</v>
      </c>
      <c r="AL25" s="20"/>
      <c r="AM25" s="8">
        <f>AK25/950</f>
        <v>157.13578947368421</v>
      </c>
    </row>
    <row r="26" spans="1:39" ht="16" x14ac:dyDescent="0.2">
      <c r="A26" s="27"/>
      <c r="B26" t="s">
        <v>81</v>
      </c>
      <c r="C26" s="20"/>
      <c r="D26" s="20"/>
      <c r="E26" s="20"/>
      <c r="F26" s="20"/>
      <c r="G26" s="20"/>
      <c r="H26" s="20"/>
      <c r="I26" s="28"/>
      <c r="J26" s="20"/>
      <c r="K26" s="23"/>
      <c r="M26" s="49"/>
      <c r="N26" s="72"/>
      <c r="O26" s="72"/>
      <c r="P26" s="28"/>
      <c r="Q26" s="20"/>
      <c r="R26" s="23"/>
      <c r="T26" s="49"/>
      <c r="U26" s="72"/>
      <c r="V26" s="20"/>
      <c r="W26" s="28"/>
      <c r="X26" s="20"/>
      <c r="Y26" s="23"/>
      <c r="AA26" s="49"/>
      <c r="AB26" s="49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ht="16" x14ac:dyDescent="0.2">
      <c r="A27" s="27" t="s">
        <v>75</v>
      </c>
      <c r="B27" s="19" t="s">
        <v>82</v>
      </c>
      <c r="C27" s="20"/>
      <c r="D27" s="20"/>
      <c r="E27" s="20"/>
      <c r="F27" s="20"/>
      <c r="G27" s="20"/>
      <c r="H27" s="20"/>
      <c r="I27" s="28"/>
      <c r="J27" s="20"/>
      <c r="K27" s="31"/>
      <c r="M27" s="49">
        <v>5</v>
      </c>
      <c r="N27" s="72">
        <f>IF(AA27&gt;0,AVERAGE(U27,AA27,AG27),0)</f>
        <v>5.1721637426900591</v>
      </c>
      <c r="O27" s="72"/>
      <c r="P27" s="28">
        <f>3513/950</f>
        <v>3.6978947368421053</v>
      </c>
      <c r="Q27" s="20"/>
      <c r="R27" s="31"/>
      <c r="T27" s="49">
        <f>P27</f>
        <v>3.6978947368421053</v>
      </c>
      <c r="U27" s="72">
        <f>IF(AG27&gt;0,AVERAGE(AA27,AG27,AM27),0)</f>
        <v>5.7270175438596498</v>
      </c>
      <c r="V27" s="20"/>
      <c r="W27" s="28"/>
      <c r="X27" s="20"/>
      <c r="Y27" s="31"/>
      <c r="AA27" s="92">
        <v>5</v>
      </c>
      <c r="AB27" s="49"/>
      <c r="AC27" s="20"/>
      <c r="AD27" s="20"/>
      <c r="AE27" s="21">
        <v>4550</v>
      </c>
      <c r="AF27" s="20"/>
      <c r="AG27" s="8">
        <f>AE27/950</f>
        <v>4.7894736842105265</v>
      </c>
      <c r="AH27" s="20"/>
      <c r="AI27" s="20"/>
      <c r="AJ27" s="20"/>
      <c r="AK27" s="21">
        <v>7022</v>
      </c>
      <c r="AL27" s="20"/>
      <c r="AM27" s="8">
        <f>AK27/950</f>
        <v>7.391578947368421</v>
      </c>
    </row>
    <row r="28" spans="1:39" ht="16" x14ac:dyDescent="0.2">
      <c r="A28" s="25" t="s">
        <v>76</v>
      </c>
      <c r="B28" s="14" t="s">
        <v>83</v>
      </c>
      <c r="C28" s="15"/>
      <c r="D28" s="15"/>
      <c r="E28" s="15"/>
      <c r="F28" s="15"/>
      <c r="G28" s="15"/>
      <c r="H28" s="15"/>
      <c r="I28" s="29"/>
      <c r="J28" s="30"/>
      <c r="K28" s="32"/>
      <c r="L28" s="15"/>
      <c r="M28" s="50">
        <v>0</v>
      </c>
      <c r="N28" s="73">
        <f>IF(AA28&gt;0,AVERAGE(U28,AA28,AG28),0)</f>
        <v>0</v>
      </c>
      <c r="O28" s="73"/>
      <c r="P28" s="29"/>
      <c r="Q28" s="30"/>
      <c r="R28" s="32"/>
      <c r="S28" s="15"/>
      <c r="T28" s="50">
        <v>0</v>
      </c>
      <c r="U28" s="73">
        <f t="shared" ref="U28:U29" si="3">IF(AG28&gt;0,AVERAGE(AA28,AG28,AM28),0)</f>
        <v>0</v>
      </c>
      <c r="V28" s="15"/>
      <c r="W28" s="29"/>
      <c r="X28" s="30"/>
      <c r="Y28" s="32"/>
      <c r="Z28" s="15"/>
      <c r="AA28" s="50">
        <v>0</v>
      </c>
      <c r="AB28" s="50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ht="16" x14ac:dyDescent="0.2">
      <c r="A29" s="26" t="s">
        <v>77</v>
      </c>
      <c r="B29" s="10" t="s">
        <v>78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55">
        <f>SUM(M25:M28)</f>
        <v>155</v>
      </c>
      <c r="N29" s="72">
        <f>IF(AA29&gt;0,AVERAGE(U29,AA29,AG29),0)</f>
        <v>153.90374269005849</v>
      </c>
      <c r="O29" s="72"/>
      <c r="P29" s="11"/>
      <c r="Q29" s="11"/>
      <c r="R29" s="11"/>
      <c r="S29" s="11"/>
      <c r="T29" s="55">
        <f>SUM(T25:T28)</f>
        <v>154.84789473684211</v>
      </c>
      <c r="U29" s="72">
        <f t="shared" si="3"/>
        <v>156.55964912280703</v>
      </c>
      <c r="W29" s="11"/>
      <c r="X29" s="11"/>
      <c r="Y29" s="11"/>
      <c r="Z29" s="11"/>
      <c r="AA29" s="55">
        <f>SUM(AA25:AA28)</f>
        <v>159.02000000000001</v>
      </c>
      <c r="AB29" s="55"/>
      <c r="AE29" s="55">
        <f>SUM(AE25:AE28)</f>
        <v>138825</v>
      </c>
      <c r="AG29" s="55">
        <f>SUM(AG25:AG28)</f>
        <v>146.13157894736841</v>
      </c>
      <c r="AK29" s="55">
        <f>SUM(AK25:AK28)</f>
        <v>156301</v>
      </c>
      <c r="AM29" s="55">
        <f>SUM(AM25:AM28)</f>
        <v>164.52736842105264</v>
      </c>
    </row>
    <row r="30" spans="1:39" x14ac:dyDescent="0.2">
      <c r="B30" t="s">
        <v>79</v>
      </c>
      <c r="N30" s="74"/>
      <c r="O30" s="74"/>
      <c r="U30" s="74"/>
    </row>
    <row r="31" spans="1:39" x14ac:dyDescent="0.2">
      <c r="I31" s="4"/>
      <c r="J31" s="4"/>
      <c r="K31" s="4"/>
      <c r="N31" s="74"/>
      <c r="O31" s="74"/>
      <c r="P31" s="4"/>
      <c r="Q31" s="4"/>
      <c r="R31" s="4"/>
      <c r="U31" s="74"/>
      <c r="W31" s="4"/>
      <c r="X31" s="4"/>
      <c r="Y31" s="4"/>
      <c r="AG31" t="s">
        <v>103</v>
      </c>
    </row>
    <row r="32" spans="1:39" x14ac:dyDescent="0.2">
      <c r="I32" s="4"/>
      <c r="J32" s="4"/>
      <c r="K32" s="4"/>
      <c r="N32" s="74"/>
      <c r="O32" s="74"/>
      <c r="P32" s="4"/>
      <c r="Q32" s="4"/>
      <c r="R32" s="4"/>
      <c r="U32" s="74"/>
      <c r="W32" s="4"/>
      <c r="X32" s="4"/>
      <c r="Y32" s="4"/>
      <c r="AG32" s="87">
        <f>(AG29-AM29)/AM29</f>
        <v>-0.11180990524692752</v>
      </c>
    </row>
    <row r="33" spans="1:39" ht="16" x14ac:dyDescent="0.2">
      <c r="A33" s="51" t="s">
        <v>88</v>
      </c>
      <c r="B33" s="36" t="s">
        <v>89</v>
      </c>
      <c r="C33" s="20"/>
      <c r="D33" s="20"/>
      <c r="E33" s="20"/>
      <c r="F33" s="20"/>
      <c r="G33" s="20"/>
      <c r="H33" s="20"/>
      <c r="I33" s="21"/>
      <c r="J33" s="20"/>
      <c r="K33" s="22"/>
      <c r="L33" s="20"/>
      <c r="M33" s="23"/>
      <c r="N33" s="76"/>
      <c r="O33" s="76"/>
      <c r="P33" s="21"/>
      <c r="Q33" s="20"/>
      <c r="R33" s="22"/>
      <c r="S33" s="20"/>
      <c r="T33" s="23"/>
      <c r="U33" s="76"/>
      <c r="V33" s="20"/>
      <c r="W33" s="21"/>
      <c r="X33" s="20"/>
      <c r="Y33" s="22"/>
      <c r="Z33" s="20"/>
      <c r="AA33" s="23"/>
      <c r="AB33" s="23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</row>
    <row r="34" spans="1:39" x14ac:dyDescent="0.2">
      <c r="B34" t="s">
        <v>94</v>
      </c>
      <c r="N34" s="74"/>
      <c r="O34" s="74"/>
      <c r="U34" s="74"/>
    </row>
    <row r="35" spans="1:39" x14ac:dyDescent="0.2">
      <c r="A35">
        <v>3.1</v>
      </c>
      <c r="B35" t="s">
        <v>91</v>
      </c>
      <c r="M35" s="56">
        <v>80</v>
      </c>
      <c r="N35" s="78">
        <f>IF(AA35&gt;0,AVERAGE(U35,AA35,AG35),0)</f>
        <v>98.666666666666671</v>
      </c>
      <c r="O35" s="78"/>
      <c r="T35" s="56">
        <v>198</v>
      </c>
      <c r="U35" s="78">
        <f>T35</f>
        <v>198</v>
      </c>
      <c r="AA35" s="95">
        <v>73</v>
      </c>
      <c r="AB35" s="56"/>
      <c r="AF35">
        <v>25</v>
      </c>
      <c r="AG35" s="67">
        <v>25</v>
      </c>
      <c r="AH35">
        <v>69</v>
      </c>
      <c r="AM35">
        <v>151</v>
      </c>
    </row>
    <row r="36" spans="1:39" x14ac:dyDescent="0.2">
      <c r="A36">
        <v>3.2</v>
      </c>
      <c r="B36" t="s">
        <v>92</v>
      </c>
      <c r="M36" s="56">
        <v>50</v>
      </c>
      <c r="N36" s="78">
        <f>IF(AA36&gt;0,AVERAGE(U36,AA36,AG36),0)</f>
        <v>106.66666666666667</v>
      </c>
      <c r="O36" s="78"/>
      <c r="T36" s="56">
        <v>42</v>
      </c>
      <c r="U36" s="78">
        <f>T36</f>
        <v>42</v>
      </c>
      <c r="AA36" s="95">
        <v>248</v>
      </c>
      <c r="AB36" s="56"/>
      <c r="AF36">
        <v>30</v>
      </c>
      <c r="AG36" s="67">
        <v>30</v>
      </c>
      <c r="AH36">
        <v>44</v>
      </c>
      <c r="AM36">
        <v>41</v>
      </c>
    </row>
    <row r="37" spans="1:39" x14ac:dyDescent="0.2">
      <c r="A37">
        <v>3.3</v>
      </c>
      <c r="B37" t="s">
        <v>93</v>
      </c>
      <c r="M37" s="65">
        <v>0</v>
      </c>
      <c r="N37" s="78">
        <f>IF(AA37&gt;0,AVERAGE(U37,AA37,AG37),0)</f>
        <v>0</v>
      </c>
      <c r="O37" s="78"/>
      <c r="T37" s="65">
        <v>0</v>
      </c>
      <c r="U37" s="78">
        <f t="shared" ref="U37" si="4">IF(AG37&gt;0,AVERAGE(AA37,AG37,AM37),0)</f>
        <v>0</v>
      </c>
      <c r="AA37" s="96">
        <v>0</v>
      </c>
      <c r="AB37" s="65"/>
      <c r="AG37" s="65">
        <v>0</v>
      </c>
      <c r="AM37" s="65">
        <v>0</v>
      </c>
    </row>
    <row r="38" spans="1:39" x14ac:dyDescent="0.2">
      <c r="B38" t="s">
        <v>90</v>
      </c>
      <c r="N38" s="74"/>
      <c r="O38" s="74"/>
      <c r="U38" s="74"/>
    </row>
    <row r="39" spans="1:39" x14ac:dyDescent="0.2">
      <c r="AG39" t="s">
        <v>103</v>
      </c>
    </row>
    <row r="40" spans="1:39" x14ac:dyDescent="0.2">
      <c r="AG40" s="87">
        <f>(SUM(AG35:AG37)-SUM(AM35:AM37))/SUM(AM35:AM37)</f>
        <v>-0.71354166666666663</v>
      </c>
    </row>
  </sheetData>
  <mergeCells count="6">
    <mergeCell ref="P3:Q3"/>
    <mergeCell ref="R3:S3"/>
    <mergeCell ref="W3:X3"/>
    <mergeCell ref="Y3:Z3"/>
    <mergeCell ref="I3:J3"/>
    <mergeCell ref="K3:L3"/>
  </mergeCells>
  <pageMargins left="0.5" right="0.5" top="0.25" bottom="0.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4"/>
  <sheetViews>
    <sheetView zoomScale="70" zoomScaleNormal="70" workbookViewId="0">
      <pane xSplit="8" topLeftCell="I1" activePane="topRight" state="frozen"/>
      <selection pane="topRight" activeCell="O12" sqref="O12"/>
    </sheetView>
  </sheetViews>
  <sheetFormatPr baseColWidth="10" defaultColWidth="8.83203125" defaultRowHeight="15" x14ac:dyDescent="0.2"/>
  <cols>
    <col min="1" max="10" width="15.1640625" customWidth="1"/>
    <col min="11" max="11" width="10.5" customWidth="1"/>
    <col min="12" max="13" width="13.33203125" customWidth="1"/>
    <col min="14" max="14" width="10.5" customWidth="1"/>
    <col min="15" max="16" width="13.6640625" customWidth="1"/>
    <col min="17" max="17" width="14.5" bestFit="1" customWidth="1"/>
    <col min="18" max="18" width="13.6640625" customWidth="1"/>
    <col min="20" max="22" width="13.6640625" customWidth="1"/>
    <col min="23" max="23" width="8.83203125" customWidth="1"/>
    <col min="24" max="24" width="13.6640625" customWidth="1"/>
    <col min="26" max="26" width="13.6640625" customWidth="1"/>
    <col min="28" max="28" width="13.6640625" customWidth="1"/>
    <col min="30" max="30" width="13.6640625" customWidth="1"/>
  </cols>
  <sheetData>
    <row r="1" spans="1:30" ht="28.5" customHeight="1" x14ac:dyDescent="0.35">
      <c r="A1" s="1" t="s">
        <v>0</v>
      </c>
      <c r="M1" t="s">
        <v>107</v>
      </c>
      <c r="R1" s="109" t="s">
        <v>100</v>
      </c>
    </row>
    <row r="2" spans="1:30" ht="29" x14ac:dyDescent="0.35">
      <c r="A2" s="1"/>
      <c r="J2" t="s">
        <v>106</v>
      </c>
      <c r="O2" s="108" t="s">
        <v>108</v>
      </c>
      <c r="P2" s="108"/>
      <c r="Q2" s="108"/>
      <c r="R2" s="109"/>
      <c r="T2" s="108" t="s">
        <v>105</v>
      </c>
      <c r="U2" s="108"/>
      <c r="V2" s="108"/>
      <c r="W2" s="90"/>
      <c r="X2" s="108" t="s">
        <v>11</v>
      </c>
      <c r="Y2" s="108"/>
      <c r="Z2" s="108"/>
      <c r="AB2" s="108" t="s">
        <v>12</v>
      </c>
      <c r="AC2" s="108"/>
      <c r="AD2" s="108"/>
    </row>
    <row r="3" spans="1:30" ht="19" x14ac:dyDescent="0.25">
      <c r="A3" s="13" t="s">
        <v>1</v>
      </c>
      <c r="J3" t="s">
        <v>2</v>
      </c>
      <c r="K3" t="s">
        <v>3</v>
      </c>
      <c r="L3" t="s">
        <v>4</v>
      </c>
      <c r="O3" s="5" t="s">
        <v>2</v>
      </c>
      <c r="P3" s="5" t="s">
        <v>3</v>
      </c>
      <c r="Q3" s="5" t="s">
        <v>4</v>
      </c>
      <c r="R3" s="109"/>
      <c r="T3" s="5" t="s">
        <v>2</v>
      </c>
      <c r="U3" s="5" t="s">
        <v>3</v>
      </c>
      <c r="V3" s="5" t="s">
        <v>4</v>
      </c>
      <c r="W3" s="5"/>
      <c r="X3" t="s">
        <v>2</v>
      </c>
      <c r="Y3" s="3" t="s">
        <v>3</v>
      </c>
      <c r="Z3" s="3" t="s">
        <v>4</v>
      </c>
      <c r="AB3" t="s">
        <v>2</v>
      </c>
      <c r="AC3" s="3" t="s">
        <v>3</v>
      </c>
      <c r="AD3" s="3" t="s">
        <v>4</v>
      </c>
    </row>
    <row r="4" spans="1:30" ht="16" x14ac:dyDescent="0.2">
      <c r="A4" s="24">
        <v>6.1</v>
      </c>
      <c r="B4" s="2" t="s">
        <v>5</v>
      </c>
      <c r="J4" s="8">
        <v>3341</v>
      </c>
      <c r="K4" s="6">
        <v>340</v>
      </c>
      <c r="L4" s="98">
        <f>K4*J4</f>
        <v>1135940</v>
      </c>
      <c r="M4" s="8">
        <f>AVERAGE(T4,X4)</f>
        <v>3323.5</v>
      </c>
      <c r="O4" s="7">
        <v>3336</v>
      </c>
      <c r="P4" s="6">
        <v>347.53</v>
      </c>
      <c r="Q4" s="9">
        <f>P4*O4</f>
        <v>1159360.0799999998</v>
      </c>
      <c r="R4" s="85">
        <f>AVERAGE(Y4,AC4)</f>
        <v>367.57</v>
      </c>
      <c r="T4" s="7">
        <v>3341</v>
      </c>
      <c r="U4" s="6">
        <v>334.41</v>
      </c>
      <c r="V4" s="9">
        <f>U4*T4</f>
        <v>1117263.81</v>
      </c>
      <c r="W4" s="9"/>
      <c r="X4" s="7">
        <v>3306</v>
      </c>
      <c r="Y4">
        <v>355.01</v>
      </c>
      <c r="Z4" s="9">
        <f>Y4*X4</f>
        <v>1173663.06</v>
      </c>
      <c r="AB4" s="7">
        <v>3221</v>
      </c>
      <c r="AC4">
        <v>380.13</v>
      </c>
      <c r="AD4" s="9">
        <f>AC4*AB4</f>
        <v>1224398.73</v>
      </c>
    </row>
    <row r="5" spans="1:30" ht="16" x14ac:dyDescent="0.2">
      <c r="A5" s="24">
        <v>6.2</v>
      </c>
      <c r="B5" s="2" t="s">
        <v>6</v>
      </c>
      <c r="J5" s="8">
        <f>J4</f>
        <v>3341</v>
      </c>
      <c r="K5" s="106"/>
      <c r="L5" s="98">
        <f>K5*J5</f>
        <v>0</v>
      </c>
      <c r="M5" s="8">
        <f t="shared" ref="M5:M7" si="0">AVERAGE(T5,X5)</f>
        <v>3323.5</v>
      </c>
      <c r="O5" s="7">
        <f>O4</f>
        <v>3336</v>
      </c>
      <c r="P5" s="106">
        <v>50</v>
      </c>
      <c r="Q5" s="9">
        <f>P5*O5</f>
        <v>166800</v>
      </c>
      <c r="R5" s="85">
        <f t="shared" ref="R5:R7" si="1">AVERAGE(Y5,AC5)</f>
        <v>67.540000000000006</v>
      </c>
      <c r="T5" s="7">
        <f>T4</f>
        <v>3341</v>
      </c>
      <c r="U5" s="6">
        <v>49.9</v>
      </c>
      <c r="V5" s="9">
        <f>U5*T5</f>
        <v>166715.9</v>
      </c>
      <c r="W5" s="9"/>
      <c r="X5" s="8">
        <f>X4</f>
        <v>3306</v>
      </c>
      <c r="Y5">
        <v>67.540000000000006</v>
      </c>
      <c r="Z5" s="9">
        <f>Y5*X5</f>
        <v>223287.24000000002</v>
      </c>
      <c r="AB5" s="83"/>
      <c r="AC5" s="84"/>
      <c r="AD5" s="79"/>
    </row>
    <row r="6" spans="1:30" ht="16" x14ac:dyDescent="0.2">
      <c r="A6" s="24">
        <v>6.3</v>
      </c>
      <c r="B6" s="2" t="s">
        <v>7</v>
      </c>
      <c r="J6" s="8">
        <f>J5</f>
        <v>3341</v>
      </c>
      <c r="K6" s="6">
        <v>140</v>
      </c>
      <c r="L6" s="98">
        <f>K6*J6</f>
        <v>467740</v>
      </c>
      <c r="M6" s="8">
        <f t="shared" si="0"/>
        <v>3323.5</v>
      </c>
      <c r="O6" s="7">
        <f>O5</f>
        <v>3336</v>
      </c>
      <c r="P6" s="6">
        <v>180.64</v>
      </c>
      <c r="Q6" s="9">
        <f>P6*O6</f>
        <v>602615.03999999992</v>
      </c>
      <c r="R6" s="85">
        <f t="shared" si="1"/>
        <v>138.125</v>
      </c>
      <c r="T6" s="7">
        <f>T5</f>
        <v>3341</v>
      </c>
      <c r="U6" s="6">
        <v>155.12</v>
      </c>
      <c r="V6" s="9">
        <f>U6*T6</f>
        <v>518255.92000000004</v>
      </c>
      <c r="W6" s="9"/>
      <c r="X6" s="8">
        <f>X5</f>
        <v>3306</v>
      </c>
      <c r="Y6" s="6">
        <v>150.19999999999999</v>
      </c>
      <c r="Z6" s="9">
        <f>Y6*X6</f>
        <v>496561.19999999995</v>
      </c>
      <c r="AB6" s="8">
        <v>3344</v>
      </c>
      <c r="AC6" s="6">
        <v>126.05</v>
      </c>
      <c r="AD6" s="9">
        <f>AC6*AB6</f>
        <v>421511.2</v>
      </c>
    </row>
    <row r="7" spans="1:30" ht="16" x14ac:dyDescent="0.2">
      <c r="A7" s="25">
        <v>6.4</v>
      </c>
      <c r="B7" s="14" t="s">
        <v>8</v>
      </c>
      <c r="C7" s="15"/>
      <c r="D7" s="15"/>
      <c r="E7" s="15"/>
      <c r="F7" s="15"/>
      <c r="G7" s="15"/>
      <c r="H7" s="15"/>
      <c r="I7" s="15"/>
      <c r="J7" s="57">
        <f>J6</f>
        <v>3341</v>
      </c>
      <c r="K7" s="17">
        <v>150</v>
      </c>
      <c r="L7" s="99">
        <f>K7*J7</f>
        <v>501150</v>
      </c>
      <c r="M7" s="57">
        <f t="shared" si="0"/>
        <v>3323.5</v>
      </c>
      <c r="N7" s="15"/>
      <c r="O7" s="16">
        <f>O6</f>
        <v>3336</v>
      </c>
      <c r="P7" s="17">
        <v>151.15</v>
      </c>
      <c r="Q7" s="18">
        <f>P7*O7</f>
        <v>504236.4</v>
      </c>
      <c r="R7" s="86">
        <f t="shared" si="1"/>
        <v>149.24</v>
      </c>
      <c r="S7" s="15"/>
      <c r="T7" s="16">
        <f>T6</f>
        <v>3341</v>
      </c>
      <c r="U7" s="17">
        <v>154.02000000000001</v>
      </c>
      <c r="V7" s="18">
        <f>U7*T7</f>
        <v>514580.82</v>
      </c>
      <c r="W7" s="18"/>
      <c r="X7" s="57">
        <f>X6</f>
        <v>3306</v>
      </c>
      <c r="Y7" s="15">
        <v>141.34</v>
      </c>
      <c r="Z7" s="18">
        <f>Y7*X7</f>
        <v>467270.04000000004</v>
      </c>
      <c r="AA7" s="15"/>
      <c r="AB7" s="57">
        <v>3221</v>
      </c>
      <c r="AC7" s="15">
        <v>157.13999999999999</v>
      </c>
      <c r="AD7" s="18">
        <f>AC7*AB7</f>
        <v>506147.93999999994</v>
      </c>
    </row>
    <row r="8" spans="1:30" ht="16" x14ac:dyDescent="0.2">
      <c r="A8" s="26">
        <v>6.5</v>
      </c>
      <c r="B8" s="10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2">
        <f>SUM(L4:L7)</f>
        <v>2104830</v>
      </c>
      <c r="M8" s="12"/>
      <c r="N8" s="11"/>
      <c r="O8" s="11"/>
      <c r="P8" s="11"/>
      <c r="Q8" s="12">
        <f>SUM(Q4:Q7)</f>
        <v>2433011.5199999996</v>
      </c>
      <c r="R8" s="80"/>
      <c r="T8" s="11"/>
      <c r="U8" s="11"/>
      <c r="V8" s="12">
        <f>SUM(V4:V7)</f>
        <v>2316816.4499999997</v>
      </c>
      <c r="W8" s="12"/>
      <c r="Z8" s="12">
        <f>SUM(Z4:Z7)</f>
        <v>2360781.54</v>
      </c>
      <c r="AD8" s="12">
        <f>SUM(AD4:AD7)</f>
        <v>2152057.87</v>
      </c>
    </row>
    <row r="9" spans="1:30" x14ac:dyDescent="0.2">
      <c r="B9" t="s">
        <v>10</v>
      </c>
      <c r="R9" s="74"/>
    </row>
    <row r="10" spans="1:30" x14ac:dyDescent="0.2">
      <c r="R10" s="74"/>
    </row>
    <row r="11" spans="1:30" ht="19" x14ac:dyDescent="0.25">
      <c r="A11" s="13" t="s">
        <v>13</v>
      </c>
      <c r="O11" s="5"/>
      <c r="P11" s="5"/>
      <c r="Q11" s="5"/>
      <c r="R11" s="75"/>
      <c r="T11" s="5"/>
      <c r="U11" s="5"/>
      <c r="V11" s="5"/>
      <c r="W11" s="5"/>
      <c r="X11" s="3"/>
      <c r="Z11" s="3"/>
      <c r="AB11" s="3"/>
      <c r="AD11" s="3"/>
    </row>
    <row r="12" spans="1:30" ht="16" x14ac:dyDescent="0.2">
      <c r="A12" s="24">
        <v>6.6</v>
      </c>
      <c r="B12" s="2" t="s">
        <v>16</v>
      </c>
      <c r="J12" s="8"/>
      <c r="K12" s="6"/>
      <c r="L12" s="98">
        <v>1300</v>
      </c>
      <c r="M12" s="98" t="e">
        <f t="shared" ref="M12:M15" si="2">AVERAGE(U12,Y12)</f>
        <v>#DIV/0!</v>
      </c>
      <c r="O12" s="7"/>
      <c r="P12" s="6"/>
      <c r="Q12" s="9">
        <v>1057</v>
      </c>
      <c r="R12" s="80">
        <f t="shared" ref="R12:R19" si="3">AVERAGE(Z12,AD12)</f>
        <v>1257.5</v>
      </c>
      <c r="T12" s="7"/>
      <c r="U12" s="6"/>
      <c r="V12" s="9">
        <v>1350</v>
      </c>
      <c r="W12" s="9"/>
      <c r="Z12" s="9">
        <v>1311</v>
      </c>
      <c r="AD12" s="9">
        <v>1204</v>
      </c>
    </row>
    <row r="13" spans="1:30" ht="16" x14ac:dyDescent="0.2">
      <c r="A13" s="24">
        <v>6.7</v>
      </c>
      <c r="B13" s="2" t="s">
        <v>17</v>
      </c>
      <c r="J13" s="8"/>
      <c r="K13" s="6"/>
      <c r="L13" s="98">
        <v>75</v>
      </c>
      <c r="M13" s="98" t="e">
        <f t="shared" si="2"/>
        <v>#DIV/0!</v>
      </c>
      <c r="O13" s="7"/>
      <c r="P13" s="6"/>
      <c r="Q13" s="9">
        <v>96</v>
      </c>
      <c r="R13" s="80">
        <f t="shared" si="3"/>
        <v>73</v>
      </c>
      <c r="T13" s="7"/>
      <c r="U13" s="6"/>
      <c r="V13" s="9">
        <v>75</v>
      </c>
      <c r="W13" s="9"/>
      <c r="Z13">
        <v>71</v>
      </c>
      <c r="AD13">
        <v>75</v>
      </c>
    </row>
    <row r="14" spans="1:30" ht="16" x14ac:dyDescent="0.2">
      <c r="A14" s="24">
        <v>6.8</v>
      </c>
      <c r="B14" s="2" t="s">
        <v>18</v>
      </c>
      <c r="J14" s="8"/>
      <c r="K14" s="6"/>
      <c r="L14" s="65">
        <f>L12/L13</f>
        <v>17.333333333333332</v>
      </c>
      <c r="M14" s="98" t="e">
        <f t="shared" si="2"/>
        <v>#DIV/0!</v>
      </c>
      <c r="O14" s="7"/>
      <c r="P14" s="6"/>
      <c r="Q14" s="35">
        <f>Q12/Q13</f>
        <v>11.010416666666666</v>
      </c>
      <c r="R14" s="80">
        <f t="shared" si="3"/>
        <v>17.259061032863851</v>
      </c>
      <c r="T14" s="7"/>
      <c r="U14" s="6"/>
      <c r="V14" s="35">
        <f>V12/V13</f>
        <v>18</v>
      </c>
      <c r="W14" s="35"/>
      <c r="Z14" s="35">
        <f>Z12/Z13</f>
        <v>18.464788732394368</v>
      </c>
      <c r="AD14" s="35">
        <f>AD12/AD13</f>
        <v>16.053333333333335</v>
      </c>
    </row>
    <row r="15" spans="1:30" ht="16" x14ac:dyDescent="0.2">
      <c r="A15" s="27">
        <v>6.9</v>
      </c>
      <c r="B15" s="19" t="s">
        <v>19</v>
      </c>
      <c r="C15" s="20"/>
      <c r="D15" s="20"/>
      <c r="E15" s="20"/>
      <c r="F15" s="20"/>
      <c r="G15" s="20"/>
      <c r="H15" s="20"/>
      <c r="I15" s="20"/>
      <c r="J15" s="20"/>
      <c r="K15" s="20"/>
      <c r="L15" s="100">
        <v>5500</v>
      </c>
      <c r="M15" s="101" t="e">
        <f t="shared" si="2"/>
        <v>#DIV/0!</v>
      </c>
      <c r="N15" s="20"/>
      <c r="Q15" s="88">
        <v>6973</v>
      </c>
      <c r="R15" s="80">
        <f t="shared" si="3"/>
        <v>5440</v>
      </c>
      <c r="V15" s="88">
        <v>5810</v>
      </c>
      <c r="W15" s="88"/>
      <c r="Y15" s="20"/>
      <c r="Z15" s="21">
        <v>5785</v>
      </c>
      <c r="AA15" s="20"/>
      <c r="AC15" s="20"/>
      <c r="AD15" s="21">
        <v>5095</v>
      </c>
    </row>
    <row r="16" spans="1:30" ht="16" x14ac:dyDescent="0.2">
      <c r="A16" s="27"/>
      <c r="B16" s="19"/>
      <c r="C16" s="20"/>
      <c r="D16" s="20"/>
      <c r="E16" s="20"/>
      <c r="F16" s="20"/>
      <c r="G16" s="20"/>
      <c r="H16" s="20"/>
      <c r="I16" s="20"/>
      <c r="J16" s="22" t="s">
        <v>20</v>
      </c>
      <c r="K16" s="101"/>
      <c r="L16" s="20"/>
      <c r="M16" s="20"/>
      <c r="N16" s="20"/>
      <c r="O16" s="28" t="s">
        <v>20</v>
      </c>
      <c r="P16" s="23"/>
      <c r="R16" s="74"/>
      <c r="S16" s="20"/>
      <c r="T16" s="28" t="s">
        <v>20</v>
      </c>
      <c r="U16" s="23"/>
      <c r="X16" s="28" t="s">
        <v>20</v>
      </c>
      <c r="Y16" s="20"/>
      <c r="Z16" s="20"/>
      <c r="AA16" s="20"/>
      <c r="AB16" s="28" t="s">
        <v>20</v>
      </c>
      <c r="AC16" s="20"/>
      <c r="AD16" s="20"/>
    </row>
    <row r="17" spans="1:30" ht="16" x14ac:dyDescent="0.2">
      <c r="A17" s="27" t="s">
        <v>14</v>
      </c>
      <c r="B17" s="19" t="s">
        <v>21</v>
      </c>
      <c r="C17" s="20"/>
      <c r="D17" s="20"/>
      <c r="E17" s="20"/>
      <c r="F17" s="20"/>
      <c r="G17" s="20"/>
      <c r="H17" s="20"/>
      <c r="I17" s="20"/>
      <c r="J17" s="22">
        <v>54.39</v>
      </c>
      <c r="K17" s="101"/>
      <c r="L17" s="101">
        <f>L15*J17</f>
        <v>299145</v>
      </c>
      <c r="M17" s="101" t="e">
        <f t="shared" ref="M17" si="4">AVERAGE(U17,Y17)</f>
        <v>#DIV/0!</v>
      </c>
      <c r="N17" s="20"/>
      <c r="O17" s="28">
        <v>54.31</v>
      </c>
      <c r="P17" s="23"/>
      <c r="Q17" s="52">
        <f>Q15*O17</f>
        <v>378703.63</v>
      </c>
      <c r="R17" s="80">
        <f t="shared" si="3"/>
        <v>296138.47499999998</v>
      </c>
      <c r="S17" s="20"/>
      <c r="T17" s="28">
        <v>54.39</v>
      </c>
      <c r="U17" s="23"/>
      <c r="V17" s="52">
        <f>V15*T17</f>
        <v>316005.90000000002</v>
      </c>
      <c r="W17" s="52"/>
      <c r="X17" s="28">
        <v>54.47</v>
      </c>
      <c r="Y17" s="20"/>
      <c r="Z17" s="52">
        <f>Z15*X17</f>
        <v>315108.95</v>
      </c>
      <c r="AA17" s="20"/>
      <c r="AB17" s="28">
        <v>54.4</v>
      </c>
      <c r="AC17" s="20"/>
      <c r="AD17" s="52">
        <f>AD15*AB17</f>
        <v>277168</v>
      </c>
    </row>
    <row r="18" spans="1:30" ht="16" x14ac:dyDescent="0.2">
      <c r="A18" s="27"/>
      <c r="B18" s="19"/>
      <c r="C18" s="20"/>
      <c r="D18" s="20"/>
      <c r="E18" s="20"/>
      <c r="F18" s="20"/>
      <c r="G18" s="20"/>
      <c r="H18" s="20"/>
      <c r="I18" s="20"/>
      <c r="J18" s="22" t="s">
        <v>23</v>
      </c>
      <c r="K18" s="101" t="s">
        <v>24</v>
      </c>
      <c r="L18" s="20"/>
      <c r="M18" s="20"/>
      <c r="N18" s="20"/>
      <c r="O18" s="28" t="s">
        <v>23</v>
      </c>
      <c r="P18" s="31" t="s">
        <v>24</v>
      </c>
      <c r="R18" s="74"/>
      <c r="S18" s="20"/>
      <c r="T18" s="28" t="s">
        <v>23</v>
      </c>
      <c r="U18" s="31" t="s">
        <v>24</v>
      </c>
      <c r="X18" s="60" t="s">
        <v>23</v>
      </c>
      <c r="Y18" s="61" t="s">
        <v>24</v>
      </c>
      <c r="Z18" s="20"/>
      <c r="AA18" s="20"/>
      <c r="AB18" s="60" t="s">
        <v>23</v>
      </c>
      <c r="AC18" s="61" t="s">
        <v>24</v>
      </c>
      <c r="AD18" s="20"/>
    </row>
    <row r="19" spans="1:30" ht="16" x14ac:dyDescent="0.2">
      <c r="A19" s="27">
        <v>6.11</v>
      </c>
      <c r="B19" s="19" t="s">
        <v>22</v>
      </c>
      <c r="C19" s="20"/>
      <c r="D19" s="20"/>
      <c r="E19" s="20"/>
      <c r="F19" s="20"/>
      <c r="G19" s="20"/>
      <c r="H19" s="20"/>
      <c r="I19" s="20"/>
      <c r="J19" s="22">
        <v>23</v>
      </c>
      <c r="K19" s="20">
        <v>1</v>
      </c>
      <c r="L19" s="101">
        <f>IF(J19&gt;L14,(J19-L14)*K19*L15,0)</f>
        <v>31166.666666666672</v>
      </c>
      <c r="M19" s="101">
        <f t="shared" ref="M19" si="5">AVERAGE(U19,Y19)</f>
        <v>1</v>
      </c>
      <c r="N19" s="20"/>
      <c r="O19" s="28">
        <v>23</v>
      </c>
      <c r="P19" s="34">
        <v>1</v>
      </c>
      <c r="Q19" s="9">
        <f>IF(O19&gt;Q14,(O19-Q14)*P19*Q15,0)</f>
        <v>83603.364583333343</v>
      </c>
      <c r="R19" s="80">
        <f t="shared" si="3"/>
        <v>30814.731924882624</v>
      </c>
      <c r="S19" s="20"/>
      <c r="T19" s="28">
        <v>23</v>
      </c>
      <c r="U19" s="34">
        <v>1</v>
      </c>
      <c r="V19" s="9">
        <f>IF(T19&gt;V14,(T19-V14)*U19*V15,0)</f>
        <v>29050</v>
      </c>
      <c r="W19" s="9"/>
      <c r="X19" s="28">
        <v>23</v>
      </c>
      <c r="Y19" s="34">
        <v>1</v>
      </c>
      <c r="Z19" s="79">
        <f>IF(X19&gt;Z14,(X19-Z14)*Y19*Z15,0)</f>
        <v>26236.197183098582</v>
      </c>
      <c r="AA19" s="20"/>
      <c r="AB19" s="28">
        <v>23</v>
      </c>
      <c r="AC19" s="34">
        <v>1</v>
      </c>
      <c r="AD19" s="69">
        <f>IF(AB19&gt;AD14,(AB19-AD14)*AC19*AD15,0)</f>
        <v>35393.266666666663</v>
      </c>
    </row>
    <row r="20" spans="1:30" ht="16" x14ac:dyDescent="0.2">
      <c r="A20" s="27"/>
      <c r="B20" s="20" t="s">
        <v>101</v>
      </c>
      <c r="C20" s="20"/>
      <c r="D20" s="20"/>
      <c r="E20" s="20"/>
      <c r="F20" s="20"/>
      <c r="G20" s="20"/>
      <c r="H20" s="20"/>
      <c r="I20" s="20"/>
      <c r="J20" s="22"/>
      <c r="K20" s="20"/>
      <c r="L20" s="101"/>
      <c r="M20" s="101"/>
      <c r="N20" s="20"/>
      <c r="O20" s="28"/>
      <c r="P20" s="34"/>
      <c r="Q20" s="9"/>
      <c r="R20" s="80"/>
      <c r="S20" s="20"/>
      <c r="T20" s="28"/>
      <c r="U20" s="34"/>
      <c r="V20" s="9"/>
      <c r="W20" s="9"/>
      <c r="X20" s="28"/>
      <c r="Y20" s="34"/>
      <c r="Z20" s="79"/>
      <c r="AA20" s="20"/>
      <c r="AB20" s="28"/>
      <c r="AC20" s="34"/>
      <c r="AD20" s="79"/>
    </row>
    <row r="21" spans="1:30" x14ac:dyDescent="0.2">
      <c r="A21" s="15"/>
      <c r="B21" s="15"/>
      <c r="C21" s="15" t="s">
        <v>102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81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6" x14ac:dyDescent="0.2">
      <c r="A22" s="26" t="s">
        <v>15</v>
      </c>
      <c r="B22" s="10" t="s">
        <v>25</v>
      </c>
      <c r="C22" s="11"/>
      <c r="D22" s="11"/>
      <c r="E22" s="11"/>
      <c r="F22" s="11"/>
      <c r="G22" s="11"/>
      <c r="H22" s="11"/>
      <c r="I22" s="11"/>
      <c r="J22" s="11"/>
      <c r="K22" s="11"/>
      <c r="L22" s="12">
        <f>L17-L19</f>
        <v>267978.33333333331</v>
      </c>
      <c r="M22" s="12" t="e">
        <f t="shared" ref="M22" si="6">AVERAGE(U22,Y22)</f>
        <v>#DIV/0!</v>
      </c>
      <c r="N22" s="11"/>
      <c r="O22" s="11"/>
      <c r="P22" s="11"/>
      <c r="Q22" s="12">
        <f>Q17-Q19</f>
        <v>295100.26541666663</v>
      </c>
      <c r="R22" s="80">
        <f t="shared" ref="R22" si="7">AVERAGE(Z22,AD22)</f>
        <v>265323.74307511735</v>
      </c>
      <c r="T22" s="11"/>
      <c r="U22" s="11"/>
      <c r="V22" s="12">
        <f>V17-V19</f>
        <v>286955.90000000002</v>
      </c>
      <c r="W22" s="12"/>
      <c r="Z22" s="12">
        <f>Z17-Z19</f>
        <v>288872.75281690143</v>
      </c>
      <c r="AD22" s="12">
        <f>AD17-AD19</f>
        <v>241774.73333333334</v>
      </c>
    </row>
    <row r="23" spans="1:30" x14ac:dyDescent="0.2">
      <c r="B23" t="s">
        <v>26</v>
      </c>
      <c r="R23" s="74"/>
    </row>
    <row r="24" spans="1:30" x14ac:dyDescent="0.2">
      <c r="J24" t="s">
        <v>32</v>
      </c>
      <c r="K24" t="s">
        <v>33</v>
      </c>
      <c r="O24" s="4" t="s">
        <v>32</v>
      </c>
      <c r="P24" s="4" t="s">
        <v>33</v>
      </c>
      <c r="R24" s="74"/>
      <c r="T24" s="4" t="s">
        <v>32</v>
      </c>
      <c r="U24" s="4" t="s">
        <v>33</v>
      </c>
      <c r="X24" s="58" t="s">
        <v>32</v>
      </c>
      <c r="Y24" s="59" t="s">
        <v>33</v>
      </c>
      <c r="AB24" s="58" t="s">
        <v>32</v>
      </c>
      <c r="AC24" s="59" t="s">
        <v>33</v>
      </c>
    </row>
    <row r="25" spans="1:30" x14ac:dyDescent="0.2">
      <c r="J25" t="s">
        <v>34</v>
      </c>
      <c r="K25" t="s">
        <v>35</v>
      </c>
      <c r="O25" s="4" t="s">
        <v>34</v>
      </c>
      <c r="P25" s="4" t="s">
        <v>35</v>
      </c>
      <c r="R25" s="74"/>
      <c r="T25" s="4" t="s">
        <v>34</v>
      </c>
      <c r="U25" s="4" t="s">
        <v>35</v>
      </c>
      <c r="X25" s="58" t="s">
        <v>34</v>
      </c>
      <c r="Y25" s="59" t="s">
        <v>35</v>
      </c>
      <c r="AB25" s="58" t="s">
        <v>34</v>
      </c>
      <c r="AC25" s="59" t="s">
        <v>35</v>
      </c>
    </row>
    <row r="26" spans="1:30" ht="16" x14ac:dyDescent="0.2">
      <c r="A26" s="27" t="s">
        <v>27</v>
      </c>
      <c r="B26" s="36" t="s">
        <v>28</v>
      </c>
      <c r="C26" s="20"/>
      <c r="D26" s="20"/>
      <c r="E26" s="20"/>
      <c r="F26" s="20"/>
      <c r="G26" s="20"/>
      <c r="H26" s="20"/>
      <c r="I26" s="20"/>
      <c r="J26" s="102">
        <v>120</v>
      </c>
      <c r="K26" s="102">
        <v>362</v>
      </c>
      <c r="L26" s="101">
        <f>(('Schedule 12'!H35+'Schedule 12'!H36)*J26)+('Schedule 12'!H37*'Section 6'!K26)</f>
        <v>0</v>
      </c>
      <c r="M26" s="101">
        <f t="shared" ref="M26" si="8">AVERAGE(U26,Y26)</f>
        <v>360</v>
      </c>
      <c r="N26" s="20"/>
      <c r="O26" s="53">
        <v>120</v>
      </c>
      <c r="P26" s="54">
        <v>240</v>
      </c>
      <c r="Q26" s="23">
        <f>(('Schedule 12'!T35+'Schedule 12'!T36)*O26)+('Schedule 12'!T37*'Section 6'!P26)</f>
        <v>28800</v>
      </c>
      <c r="R26" s="80">
        <f t="shared" ref="R26" si="9">AVERAGE(Z26,AD26)</f>
        <v>14792.5</v>
      </c>
      <c r="S26" s="20"/>
      <c r="T26" s="53">
        <v>120</v>
      </c>
      <c r="U26" s="54">
        <v>362</v>
      </c>
      <c r="V26" s="23">
        <f>(('Schedule 12'!AA35+'Schedule 12'!AA36)*T26)+('Schedule 12'!AA37*'Section 6'!U26)</f>
        <v>38520</v>
      </c>
      <c r="W26" s="23"/>
      <c r="X26" s="33">
        <v>119</v>
      </c>
      <c r="Y26" s="33">
        <v>358</v>
      </c>
      <c r="Z26" s="93">
        <f>(('Schedule 12'!AG35+'Schedule 12'!AG36)*X26)+('Schedule 12'!AG37*'Section 6'!Y26)</f>
        <v>6545</v>
      </c>
      <c r="AA26" s="20"/>
      <c r="AB26" s="33">
        <v>120</v>
      </c>
      <c r="AC26" s="33">
        <v>362</v>
      </c>
      <c r="AD26" s="23">
        <f>(('Schedule 12'!AM35+'Schedule 12'!AM36)*AB26)+('Schedule 12'!AM37*'Section 6'!AC26)</f>
        <v>23040</v>
      </c>
    </row>
    <row r="27" spans="1:30" ht="17" thickBot="1" x14ac:dyDescent="0.25">
      <c r="A27" s="37"/>
      <c r="B27" s="42" t="s">
        <v>36</v>
      </c>
      <c r="C27" s="38"/>
      <c r="D27" s="38"/>
      <c r="E27" s="38"/>
      <c r="F27" s="38"/>
      <c r="G27" s="38"/>
      <c r="H27" s="38"/>
      <c r="I27" s="38"/>
      <c r="J27" s="103"/>
      <c r="K27" s="40"/>
      <c r="L27" s="104"/>
      <c r="M27" s="104"/>
      <c r="N27" s="38"/>
      <c r="O27" s="39"/>
      <c r="P27" s="40"/>
      <c r="Q27" s="41"/>
      <c r="R27" s="82"/>
      <c r="S27" s="38"/>
      <c r="T27" s="39"/>
      <c r="U27" s="40"/>
      <c r="V27" s="41"/>
      <c r="W27" s="41"/>
      <c r="X27" s="38"/>
      <c r="Y27" s="38"/>
      <c r="Z27" s="38"/>
      <c r="AA27" s="38"/>
      <c r="AB27" s="38"/>
      <c r="AC27" s="38"/>
      <c r="AD27" s="38"/>
    </row>
    <row r="28" spans="1:30" ht="16" x14ac:dyDescent="0.2">
      <c r="A28" s="26" t="s">
        <v>29</v>
      </c>
      <c r="B28" s="10" t="s">
        <v>30</v>
      </c>
      <c r="C28" s="11"/>
      <c r="D28" s="11"/>
      <c r="E28" s="11"/>
      <c r="F28" s="11"/>
      <c r="G28" s="11"/>
      <c r="H28" s="11"/>
      <c r="I28" s="11"/>
      <c r="J28" s="11"/>
      <c r="K28" s="11"/>
      <c r="L28" s="12">
        <f>L8+L22+L26</f>
        <v>2372808.3333333335</v>
      </c>
      <c r="M28" s="12" t="e">
        <f t="shared" ref="M28" si="10">AVERAGE(U28,Y28)</f>
        <v>#DIV/0!</v>
      </c>
      <c r="N28" s="11"/>
      <c r="O28" s="11"/>
      <c r="P28" s="11"/>
      <c r="Q28" s="12">
        <f>Q8+Q22+Q26</f>
        <v>2756911.7854166664</v>
      </c>
      <c r="R28" s="80">
        <f t="shared" ref="R28" si="11">AVERAGE(Z28,AD28)</f>
        <v>2536535.9480751175</v>
      </c>
      <c r="T28" s="11"/>
      <c r="U28" s="11"/>
      <c r="V28" s="12">
        <f>V8+V22+V26</f>
        <v>2642292.3499999996</v>
      </c>
      <c r="W28" s="12"/>
      <c r="Z28" s="12">
        <f>Z8+Z22+Z26</f>
        <v>2656199.2928169016</v>
      </c>
      <c r="AD28" s="12">
        <f>AD8+AD22+AD26</f>
        <v>2416872.6033333335</v>
      </c>
    </row>
    <row r="29" spans="1:30" x14ac:dyDescent="0.2">
      <c r="B29" t="s">
        <v>31</v>
      </c>
    </row>
    <row r="30" spans="1:30" x14ac:dyDescent="0.2">
      <c r="M30" t="s">
        <v>103</v>
      </c>
      <c r="R30" t="s">
        <v>103</v>
      </c>
      <c r="Z30" t="s">
        <v>103</v>
      </c>
    </row>
    <row r="31" spans="1:30" x14ac:dyDescent="0.2">
      <c r="M31" s="105" t="e">
        <f>(L28-U28)/U28</f>
        <v>#DIV/0!</v>
      </c>
      <c r="R31" s="87">
        <f>(Q28-Z28)/Z28</f>
        <v>3.7916015139420944E-2</v>
      </c>
      <c r="Z31" s="87">
        <f>(Z28-AD28)/AD28</f>
        <v>9.9023295292226157E-2</v>
      </c>
    </row>
    <row r="33" spans="26:26" x14ac:dyDescent="0.2">
      <c r="Z33" t="s">
        <v>104</v>
      </c>
    </row>
    <row r="34" spans="26:26" x14ac:dyDescent="0.2">
      <c r="Z34" s="87">
        <f>((Z28-Z5)-AD28)/AD28</f>
        <v>6.6364480533423042E-3</v>
      </c>
    </row>
  </sheetData>
  <mergeCells count="5">
    <mergeCell ref="X2:Z2"/>
    <mergeCell ref="AB2:AD2"/>
    <mergeCell ref="R1:R3"/>
    <mergeCell ref="O2:Q2"/>
    <mergeCell ref="T2:V2"/>
  </mergeCells>
  <pageMargins left="0.5" right="0.5" top="0.5" bottom="0.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12</vt:lpstr>
      <vt:lpstr>Section 6</vt:lpstr>
    </vt:vector>
  </TitlesOfParts>
  <Company>District School Board of Niagara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Microsoft Office User</cp:lastModifiedBy>
  <cp:lastPrinted>2015-03-26T18:28:57Z</cp:lastPrinted>
  <dcterms:created xsi:type="dcterms:W3CDTF">2014-11-26T17:37:30Z</dcterms:created>
  <dcterms:modified xsi:type="dcterms:W3CDTF">2018-11-11T21:56:10Z</dcterms:modified>
</cp:coreProperties>
</file>